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iceforyou-my.sharepoint.com/personal/john_frost_niceforyou_com/Documents/Desktop/Solar/"/>
    </mc:Choice>
  </mc:AlternateContent>
  <xr:revisionPtr revIDLastSave="406" documentId="8_{2E22AD86-01CA-4318-9347-62A0F91FF9EC}" xr6:coauthVersionLast="47" xr6:coauthVersionMax="47" xr10:uidLastSave="{5DE947F8-24AA-4A61-B835-06FCFBBB2BDA}"/>
  <workbookProtection workbookAlgorithmName="SHA-512" workbookHashValue="FKnLAxUc1EeyzuZrykk31Mg/IpAdD2qWnahDTwAodlYG5iLGRlv3CVsAMgEheR/WP2sDWecAYorOzflgw3ykdg==" workbookSaltValue="QOIV7ih1Ey6/71CAqT4bVA==" workbookSpinCount="100000" lockStructure="1"/>
  <bookViews>
    <workbookView xWindow="28410" yWindow="-16500" windowWidth="29040" windowHeight="15720" xr2:uid="{62F4BCAF-66EF-4F31-A235-93DA231D1F1E}"/>
    <workbookView xWindow="28410" yWindow="-16500" windowWidth="29040" windowHeight="15720" xr2:uid="{39F5DD91-19B7-4D15-BED6-8CC1F279C355}"/>
  </bookViews>
  <sheets>
    <sheet name="Worksheet" sheetId="1" r:id="rId1"/>
    <sheet name="Tabl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H13" i="2"/>
  <c r="H14" i="2"/>
  <c r="C21" i="1"/>
  <c r="H30" i="2"/>
  <c r="H31" i="2"/>
  <c r="H27" i="2"/>
  <c r="H29" i="2"/>
  <c r="H19" i="2"/>
  <c r="H20" i="2"/>
  <c r="H21" i="2"/>
  <c r="H22" i="2"/>
  <c r="H32" i="2"/>
  <c r="D21" i="1"/>
  <c r="T11" i="2"/>
  <c r="S11" i="2"/>
  <c r="P11" i="2"/>
  <c r="O11" i="2"/>
  <c r="N11" i="2"/>
  <c r="M11" i="2"/>
  <c r="H24" i="2" l="1"/>
  <c r="H23" i="2"/>
  <c r="H16" i="2"/>
  <c r="B32" i="1" l="1"/>
  <c r="G25" i="2"/>
  <c r="H25" i="2" l="1"/>
  <c r="C20" i="1" l="1" a="1"/>
  <c r="C20" i="1" s="1"/>
  <c r="C7" i="1"/>
  <c r="C22" i="1" l="1"/>
  <c r="H17" i="2"/>
  <c r="H18" i="2"/>
  <c r="H15" i="2"/>
  <c r="F28" i="2" l="1"/>
  <c r="H28" i="2" s="1"/>
  <c r="G26" i="2"/>
  <c r="H26" i="2" l="1"/>
  <c r="C23" i="1" s="1"/>
  <c r="C31" i="1" s="1"/>
  <c r="C32" i="1" s="1"/>
  <c r="C36" i="1" l="1"/>
  <c r="D32" i="1"/>
  <c r="C33" i="1" l="1"/>
  <c r="D33" i="1" s="1"/>
  <c r="C34" i="1"/>
  <c r="D34" i="1" s="1"/>
  <c r="C38" i="1"/>
  <c r="C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Frost</author>
  </authors>
  <commentList>
    <comment ref="M11" authorId="0" shapeId="0" xr:uid="{8FA970FF-5A93-4394-AF8C-ECE8F0E7FF22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Do not delete these entries above the table, they're used for calulations. 
</t>
        </r>
      </text>
    </comment>
    <comment ref="F12" authorId="0" shapeId="0" xr:uid="{DA52C87C-4E3B-4B21-B497-1765EBD0D24A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Average current consumption while gate moving</t>
        </r>
      </text>
    </comment>
    <comment ref="G12" authorId="0" shapeId="0" xr:uid="{D9A26579-F11C-43E5-8D5C-4672838B0B96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Open and close cycle. </t>
        </r>
      </text>
    </comment>
    <comment ref="T12" authorId="0" shapeId="0" xr:uid="{DF644118-6E62-4C60-9EE6-B5C969A1837F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Measured 10mA
</t>
        </r>
      </text>
    </comment>
    <comment ref="N29" authorId="0" shapeId="0" xr:uid="{AFF8F373-C7BB-49F4-8F73-B40E538986CB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Hy5B + STC725</t>
        </r>
      </text>
    </comment>
    <comment ref="P29" authorId="0" shapeId="0" xr:uid="{9A56BFC9-F39E-4B16-AE96-A542CCA10914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BlueBus not currently shut down in STC725
</t>
        </r>
      </text>
    </comment>
    <comment ref="R29" authorId="0" shapeId="0" xr:uid="{F7781FC2-A81A-45C1-9E02-5FEDE59D79EC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Peplink BR1Mini + STC725</t>
        </r>
      </text>
    </comment>
    <comment ref="T29" authorId="0" shapeId="0" xr:uid="{4594F40A-4C22-40C8-AF0D-AD8A4847E155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OXIMGC/A + STC725</t>
        </r>
      </text>
    </comment>
    <comment ref="N30" authorId="0" shapeId="0" xr:uid="{A79EBB8C-EE09-43A8-AE93-5DB81ACD89D8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Hy5B + STC725</t>
        </r>
      </text>
    </comment>
    <comment ref="P30" authorId="0" shapeId="0" xr:uid="{59BF3D52-8A9C-40F4-9AC0-DE5E99FEA5F3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BlueBus not currently shut down in STC725
</t>
        </r>
      </text>
    </comment>
    <comment ref="R30" authorId="0" shapeId="0" xr:uid="{92B52218-93D2-4732-B298-22B0557A23A2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Peplink BR1Mini + STC725</t>
        </r>
      </text>
    </comment>
    <comment ref="T30" authorId="0" shapeId="0" xr:uid="{B38C86FF-27F6-4904-AA5E-6378936A1F42}">
      <text>
        <r>
          <rPr>
            <b/>
            <sz val="9"/>
            <color indexed="81"/>
            <rFont val="Tahoma"/>
            <charset val="1"/>
          </rPr>
          <t>John Frost:</t>
        </r>
        <r>
          <rPr>
            <sz val="9"/>
            <color indexed="81"/>
            <rFont val="Tahoma"/>
            <charset val="1"/>
          </rPr>
          <t xml:space="preserve">
OXIMGC/A + STC725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<sst xmlns="http://schemas.openxmlformats.org/spreadsheetml/2006/main" count="179" uniqueCount="125">
  <si>
    <t>INPUT</t>
  </si>
  <si>
    <t>Fill out your site and system details in all orange cells. The output is shown in the green cells below.</t>
  </si>
  <si>
    <t>Usage</t>
  </si>
  <si>
    <t>Solar Insolation Map</t>
  </si>
  <si>
    <t>Drivers with Cars</t>
  </si>
  <si>
    <t>Enter the number of resident licensed drivers with access to a vehicle.</t>
  </si>
  <si>
    <t>Average Trips per day per resident</t>
  </si>
  <si>
    <t>How many times does each driver leave the property? One trip is two gate cycles:  departure and arrival.</t>
  </si>
  <si>
    <t>Other vehicles</t>
  </si>
  <si>
    <t xml:space="preserve">Other than residents, how many people visit the property on a typical day? Each is two cycles: arrival and departure. </t>
  </si>
  <si>
    <t>Total Gate Cycles</t>
  </si>
  <si>
    <t>Total gate cycles per day</t>
  </si>
  <si>
    <t>System</t>
  </si>
  <si>
    <t>Operator Type</t>
  </si>
  <si>
    <t>SlideSmart</t>
  </si>
  <si>
    <t>Select your operator from the pull down menu</t>
  </si>
  <si>
    <t>Gate Length (ft)</t>
  </si>
  <si>
    <t xml:space="preserve">Enter the length of the gate in ft. </t>
  </si>
  <si>
    <t>Number of Keypads</t>
  </si>
  <si>
    <t>Enter the number of keypads installed on the system. We'll estimate the power. Do not include wireless keypads.</t>
  </si>
  <si>
    <t>Loop Detectors</t>
  </si>
  <si>
    <t>Enter the number of loop detectors used. Do not include Hy5B detectors</t>
  </si>
  <si>
    <t>7 Day Event Timer</t>
  </si>
  <si>
    <t xml:space="preserve">Enter the number of stand alone 7day timers. Do not include onboard 7day timers. </t>
  </si>
  <si>
    <t>BlueBus Photoeyes</t>
  </si>
  <si>
    <t>Enter the number of BlueBus photoeye pairs used.</t>
  </si>
  <si>
    <t>Stand Alone Receiver</t>
  </si>
  <si>
    <t>Enter number of stand alone radio receivers</t>
  </si>
  <si>
    <t>OXI Receiver</t>
  </si>
  <si>
    <t>Enter 1 if using an OXI receiver</t>
  </si>
  <si>
    <t>Other (mA)</t>
  </si>
  <si>
    <t>If there are other devices that draw power continuously, enter the power draw in mA. (e.g. Wi-Fi/cellular modules, lights, etc.)</t>
  </si>
  <si>
    <t>Standby Current draw (A)</t>
  </si>
  <si>
    <t>Battery voltage (V)</t>
  </si>
  <si>
    <t>Daily Standby Energy (Wh)</t>
  </si>
  <si>
    <t>Energy per cycle (Wh)</t>
  </si>
  <si>
    <t>Environment and user requirements</t>
  </si>
  <si>
    <t>Insolation (see map)</t>
  </si>
  <si>
    <t>Enter the value on the map that corresponds to the site's location. If the location is between two lines, use the average.</t>
  </si>
  <si>
    <t xml:space="preserve">Days of Standby required </t>
  </si>
  <si>
    <t>Minimum battery level (%)</t>
  </si>
  <si>
    <t>The lowest battery charge level allowed after above number of days of standby. (&gt;50% reccomended)</t>
  </si>
  <si>
    <t>Expected recharge time (days)</t>
  </si>
  <si>
    <t>Number of days of full sun to recharge fully depleated batteries (typical = 2 days)</t>
  </si>
  <si>
    <t>RESULTS</t>
  </si>
  <si>
    <t>Daily System Load (W-h)</t>
  </si>
  <si>
    <t xml:space="preserve">This is the average daily power requirement for the system. </t>
  </si>
  <si>
    <t>Solar Panels (W)</t>
  </si>
  <si>
    <t>Battery Charger</t>
  </si>
  <si>
    <t>Standby power (W)</t>
  </si>
  <si>
    <t>Charge current available (A)</t>
  </si>
  <si>
    <t>Power available to charge battery from above panels</t>
  </si>
  <si>
    <t>Charge current needed (A)</t>
  </si>
  <si>
    <t>Current needed for 6h to recharge batteries in time above</t>
  </si>
  <si>
    <t>Rev History</t>
  </si>
  <si>
    <t>Rev</t>
  </si>
  <si>
    <t>Date</t>
  </si>
  <si>
    <t>Notes</t>
  </si>
  <si>
    <t>Original</t>
  </si>
  <si>
    <t>Before 2021</t>
  </si>
  <si>
    <t>Copied from SupportCentre on Jan 10 2025.
https://support.hysecurity.com/hc/en-us/articles/360057403914-Solar-Calculator</t>
  </si>
  <si>
    <t>v2</t>
  </si>
  <si>
    <t>Add Juno310</t>
  </si>
  <si>
    <t>v3</t>
  </si>
  <si>
    <t xml:space="preserve">Merged Standby and operation tables. </t>
  </si>
  <si>
    <t>v4</t>
  </si>
  <si>
    <t>Added new operator types:Titan and Apollo with Mercury
Cleaned up formulas and text. Added instructions below below</t>
  </si>
  <si>
    <t>Motor Current 
(A)</t>
  </si>
  <si>
    <t>Cycle Time 
(s)</t>
  </si>
  <si>
    <t>Load 
(W-h/cyc)</t>
  </si>
  <si>
    <t>Voltage (V)</t>
  </si>
  <si>
    <t>Controller</t>
  </si>
  <si>
    <t>Max charge rate 
(A)</t>
  </si>
  <si>
    <t>System Standby Current 
(A)</t>
  </si>
  <si>
    <t>Keypad  Current 
(A)</t>
  </si>
  <si>
    <t>Loop Detector Current 
(A)</t>
  </si>
  <si>
    <t>Timer Current 
(A)</t>
  </si>
  <si>
    <t>BB Current 
(A)</t>
  </si>
  <si>
    <t>RX Current 
(A)</t>
  </si>
  <si>
    <t>OXI Current 
(A)</t>
  </si>
  <si>
    <t>Apollo 816 single:636</t>
  </si>
  <si>
    <t>NA</t>
  </si>
  <si>
    <t>Apollo 816 dual:636</t>
  </si>
  <si>
    <t>Apollo 816 single:1050</t>
  </si>
  <si>
    <t>Apollo 816 dual:1050</t>
  </si>
  <si>
    <t>Titan Single:1050</t>
  </si>
  <si>
    <t>Titan Dual:1050</t>
  </si>
  <si>
    <t>Apollo 816 single:Mercury</t>
  </si>
  <si>
    <t>Mercury310</t>
  </si>
  <si>
    <t>Apollo 816 dual:Mercury</t>
  </si>
  <si>
    <t>Titan Single:Mercury</t>
  </si>
  <si>
    <t>Titan Dual:Mercury</t>
  </si>
  <si>
    <t>Vanguard single:Mercury</t>
  </si>
  <si>
    <t>Vanguard dual:Mercury</t>
  </si>
  <si>
    <t>Juno</t>
  </si>
  <si>
    <t>SDC</t>
  </si>
  <si>
    <t>SwingSmart</t>
  </si>
  <si>
    <t>StrongArm Park</t>
  </si>
  <si>
    <t>To add more operator types:</t>
  </si>
  <si>
    <t>Insert rows into table</t>
  </si>
  <si>
    <t>Fill data</t>
  </si>
  <si>
    <t xml:space="preserve">Check data validation in C9 on other sheet includes added rows. </t>
  </si>
  <si>
    <t>To add more accessory types</t>
  </si>
  <si>
    <t>Add new columns to above table</t>
  </si>
  <si>
    <t>Add new rows to Worksheet.</t>
  </si>
  <si>
    <t>Add item name on worksheet to the cell above the table</t>
  </si>
  <si>
    <t xml:space="preserve">Ensure that row order matches column order as standby current draw calculation uses vector products. </t>
  </si>
  <si>
    <t xml:space="preserve">Test carefully. </t>
  </si>
  <si>
    <t>v5</t>
  </si>
  <si>
    <t xml:space="preserve">Minor text changes. </t>
  </si>
  <si>
    <t xml:space="preserve">Enter the number of days that there may be no charging at all due to extended cloudiness or snow. </t>
  </si>
  <si>
    <t>SwingSmart 535</t>
  </si>
  <si>
    <t>SlideSmart 535</t>
  </si>
  <si>
    <t>STC 725</t>
  </si>
  <si>
    <t>Ethernet Connection</t>
  </si>
  <si>
    <t>Cellular modem</t>
  </si>
  <si>
    <t>Enter 1 if using a cellular moden along with ethernet connection</t>
  </si>
  <si>
    <t>Enter 1 if connecting the ethernet port (only on operators with STC725 controller)</t>
  </si>
  <si>
    <t>v6</t>
  </si>
  <si>
    <t>Ethernet Current 
(A)</t>
  </si>
  <si>
    <t>Cell Modem Current 
(A)</t>
  </si>
  <si>
    <t>Added new operator types:SSmart535.</t>
  </si>
  <si>
    <t>v7</t>
  </si>
  <si>
    <t>Dec 9-2025</t>
  </si>
  <si>
    <t>Fixed calc for 2x12v solar panels. Protected cells for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</si>
</sst>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ck">
        <color theme="4"/>
      </top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3" applyNumberFormat="0" applyAlignment="0" applyProtection="0"/>
    <xf numFmtId="0" fontId="6" fillId="4" borderId="7" applyNumberFormat="0" applyFont="0" applyAlignment="0" applyProtection="0"/>
    <xf numFmtId="0" fontId="7" fillId="0" borderId="8" applyNumberFormat="0" applyFill="0" applyAlignment="0" applyProtection="0"/>
  </cellStyleXfs>
  <cellXfs count="44">
    <xf numFmtId="0" fontId="0" fillId="0" borderId="0" xfId="0"/>
    <xf numFmtId="0" fontId="2" fillId="2" borderId="2" xfId="2"/>
    <xf numFmtId="0" fontId="5" fillId="0" borderId="0" xfId="0" applyFont="1" applyAlignment="1">
      <alignment wrapText="1"/>
    </xf>
    <xf numFmtId="0" fontId="2" fillId="2" borderId="4" xfId="2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" fillId="2" borderId="5" xfId="2" applyBorder="1" applyAlignment="1" applyProtection="1">
      <alignment horizontal="center" vertical="center"/>
      <protection locked="0"/>
    </xf>
    <xf numFmtId="2" fontId="0" fillId="0" borderId="0" xfId="0" applyNumberFormat="1"/>
    <xf numFmtId="0" fontId="2" fillId="4" borderId="7" xfId="4" applyFont="1" applyAlignment="1">
      <alignment horizontal="right" vertical="center"/>
    </xf>
    <xf numFmtId="0" fontId="2" fillId="4" borderId="7" xfId="4" applyFont="1" applyAlignment="1">
      <alignment horizontal="right" vertical="center" wrapText="1"/>
    </xf>
    <xf numFmtId="0" fontId="2" fillId="2" borderId="9" xfId="2" applyBorder="1"/>
    <xf numFmtId="164" fontId="0" fillId="0" borderId="0" xfId="0" applyNumberFormat="1"/>
    <xf numFmtId="0" fontId="0" fillId="0" borderId="0" xfId="0" applyAlignment="1">
      <alignment horizontal="center" wrapText="1"/>
    </xf>
    <xf numFmtId="0" fontId="5" fillId="4" borderId="7" xfId="4" applyFont="1" applyAlignment="1">
      <alignment horizontal="left" vertical="center" wrapText="1"/>
    </xf>
    <xf numFmtId="0" fontId="5" fillId="4" borderId="7" xfId="4" applyFont="1" applyAlignment="1">
      <alignment vertical="center" wrapText="1"/>
    </xf>
    <xf numFmtId="0" fontId="1" fillId="0" borderId="1" xfId="1" applyAlignment="1">
      <alignment horizontal="center"/>
    </xf>
    <xf numFmtId="9" fontId="2" fillId="2" borderId="5" xfId="2" applyNumberFormat="1" applyBorder="1" applyAlignment="1" applyProtection="1">
      <alignment horizontal="center" vertical="center"/>
      <protection locked="0"/>
    </xf>
    <xf numFmtId="1" fontId="2" fillId="2" borderId="0" xfId="2" applyNumberFormat="1" applyBorder="1" applyAlignment="1" applyProtection="1">
      <alignment horizontal="center" vertical="center"/>
      <protection locked="0"/>
    </xf>
    <xf numFmtId="15" fontId="0" fillId="0" borderId="0" xfId="0" applyNumberFormat="1"/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/>
    <xf numFmtId="165" fontId="3" fillId="6" borderId="6" xfId="3" applyNumberFormat="1" applyFill="1" applyBorder="1" applyAlignment="1">
      <alignment horizontal="center" vertical="center"/>
    </xf>
    <xf numFmtId="0" fontId="5" fillId="7" borderId="7" xfId="4" applyFont="1" applyFill="1" applyAlignment="1">
      <alignment horizontal="left" vertical="center" wrapText="1"/>
    </xf>
    <xf numFmtId="0" fontId="3" fillId="7" borderId="3" xfId="3" applyFill="1" applyAlignment="1">
      <alignment horizontal="right" vertical="center"/>
    </xf>
    <xf numFmtId="0" fontId="3" fillId="7" borderId="3" xfId="3" applyFill="1" applyAlignment="1">
      <alignment horizontal="right" vertical="center" wrapText="1"/>
    </xf>
    <xf numFmtId="0" fontId="13" fillId="0" borderId="0" xfId="0" applyFont="1"/>
    <xf numFmtId="165" fontId="13" fillId="0" borderId="0" xfId="0" applyNumberFormat="1" applyFont="1"/>
    <xf numFmtId="0" fontId="14" fillId="0" borderId="0" xfId="0" applyFont="1" applyAlignment="1">
      <alignment vertical="center"/>
    </xf>
    <xf numFmtId="16" fontId="0" fillId="0" borderId="0" xfId="0" applyNumberFormat="1"/>
    <xf numFmtId="165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" fontId="12" fillId="0" borderId="0" xfId="0" applyNumberFormat="1" applyFont="1" applyAlignment="1">
      <alignment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/>
    <xf numFmtId="0" fontId="8" fillId="5" borderId="8" xfId="5" applyFont="1" applyFill="1" applyAlignment="1">
      <alignment horizontal="center"/>
    </xf>
    <xf numFmtId="0" fontId="8" fillId="5" borderId="8" xfId="5" applyFont="1" applyFill="1" applyAlignment="1">
      <alignment horizontal="center" vertical="center"/>
    </xf>
    <xf numFmtId="0" fontId="5" fillId="8" borderId="10" xfId="4" applyFont="1" applyFill="1" applyBorder="1" applyAlignment="1">
      <alignment horizontal="center" vertical="center" wrapText="1"/>
    </xf>
    <xf numFmtId="0" fontId="4" fillId="0" borderId="1" xfId="1" applyFont="1" applyAlignment="1">
      <alignment horizontal="center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0" fillId="0" borderId="0" xfId="0" applyAlignment="1">
      <alignment horizontal="left"/>
    </xf>
  </cellXfs>
  <cellStyles count="6">
    <cellStyle name="Heading 1" xfId="5" builtinId="16"/>
    <cellStyle name="Heading 2" xfId="1" builtinId="17"/>
    <cellStyle name="Input" xfId="2" builtinId="20"/>
    <cellStyle name="Normal" xfId="0" builtinId="0"/>
    <cellStyle name="Note" xfId="4" builtinId="10"/>
    <cellStyle name="Output" xfId="3" builtinId="21"/>
  </cellStyles>
  <dxfs count="6">
    <dxf>
      <numFmt numFmtId="0" formatCode="General"/>
    </dxf>
    <dxf>
      <numFmt numFmtId="0" formatCode="General"/>
    </dxf>
    <dxf>
      <numFmt numFmtId="164" formatCode="0.000"/>
    </dxf>
    <dxf>
      <numFmt numFmtId="164" formatCode="0.000"/>
    </dxf>
    <dxf>
      <numFmt numFmtId="2" formatCode="0.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35983</xdr:colOff>
      <xdr:row>3</xdr:row>
      <xdr:rowOff>143933</xdr:rowOff>
    </xdr:from>
    <xdr:to>
      <xdr:col>17</xdr:col>
      <xdr:colOff>36241</xdr:colOff>
      <xdr:row>26</xdr:row>
      <xdr:rowOff>37446</xdr:rowOff>
    </xdr:to>
    <xdr:pic>
      <xdr:nvPicPr>
        <xdr:cNvPr id="2" name="Picture 1" descr="http://solarinsolation.org/wp-content/uploads/2012/01/usa_insolation_map.gif">
          <a:extLst>
            <a:ext uri="{FF2B5EF4-FFF2-40B4-BE49-F238E27FC236}">
              <a16:creationId xmlns:a16="http://schemas.microsoft.com/office/drawing/2014/main" id="{5D6565A7-9724-4D2F-A9B8-F3ECB0279B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0533" y="658283"/>
          <a:ext cx="7877432" cy="4344417"/>
        </a:xfrm>
        <a:prstGeom prst="rect">
          <a:avLst/>
        </a:prstGeom>
        <a:noFill/>
        <a:ln w="38100">
          <a:solidFill>
            <a:schemeClr val="accent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ratorSpecs" displayName="OperatorSpecs" ref="E12:T33" totalsRowShown="0">
  <autoFilter ref="E12:T33" xr:uid="{00000000-0009-0000-0100-000001000000}"/>
  <sortState xmlns:xlrd2="http://schemas.microsoft.com/office/spreadsheetml/2017/richdata2" ref="E13:O18">
    <sortCondition ref="E12:E18"/>
  </sortState>
  <tableColumns count="16">
    <tableColumn id="1" xr3:uid="{00000000-0010-0000-0000-000001000000}" name="Operator Type" dataCellStyle="Input"/>
    <tableColumn id="2" xr3:uid="{00000000-0010-0000-0000-000002000000}" name="Motor Current _x000a_(A)" dataDxfId="5" dataCellStyle="Input"/>
    <tableColumn id="3" xr3:uid="{00000000-0010-0000-0000-000003000000}" name="Cycle Time _x000a_(s)"/>
    <tableColumn id="4" xr3:uid="{00000000-0010-0000-0000-000004000000}" name="Load _x000a_(W-h/cyc)" dataDxfId="4">
      <calculatedColumnFormula>F13*G13/3600*OperatorSpecs[[#This Row],[Voltage (V)]]</calculatedColumnFormula>
    </tableColumn>
    <tableColumn id="5" xr3:uid="{00000000-0010-0000-0000-000005000000}" name="Voltage (V)"/>
    <tableColumn id="7" xr3:uid="{A5385815-B9C6-4481-A42B-CBB06150873D}" name="Controller"/>
    <tableColumn id="8" xr3:uid="{2FB624E5-B880-4DB6-83D3-4B868707380A}" name="Max charge rate _x000a_(A)" dataDxfId="3"/>
    <tableColumn id="6" xr3:uid="{00000000-0010-0000-0000-000006000000}" name="System Standby Current _x000a_(A)" dataDxfId="2"/>
    <tableColumn id="10" xr3:uid="{8602BD15-CC02-4668-802E-889FC93B6DAE}" name="Keypad  Current _x000a_(A)" dataDxfId="1"/>
    <tableColumn id="11" xr3:uid="{E0A46A7D-5279-465F-9D27-B7F266D32EBA}" name="Loop Detector Current _x000a_(A)" dataDxfId="0"/>
    <tableColumn id="12" xr3:uid="{0E362F65-2DC7-49EB-B633-D23BF78B65F8}" name="Timer Current _x000a_(A)"/>
    <tableColumn id="9" xr3:uid="{575EBE64-EE97-41C2-8BDA-179F00C0A5C7}" name="BB Current _x000a_(A)"/>
    <tableColumn id="18" xr3:uid="{CD8DA8DB-ED60-4D06-BD7D-C5078AB73D96}" name="Ethernet Current _x000a_(A)"/>
    <tableColumn id="17" xr3:uid="{78253CA0-18F9-481C-B97F-1C0DDBF7A0E3}" name="Cell Modem Current _x000a_(A)"/>
    <tableColumn id="13" xr3:uid="{48E73FE0-2008-47A3-ADB5-D2FC627FDD5A}" name="RX Current _x000a_(A)"/>
    <tableColumn id="14" xr3:uid="{3F348A2C-DECE-4DB2-AB55-A689E7B4A41C}" name="OXI Current _x000a_(A)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41"/>
  <sheetViews>
    <sheetView tabSelected="1" zoomScale="85" zoomScaleNormal="85" workbookViewId="0">
      <selection activeCell="H29" sqref="H29"/>
    </sheetView>
    <sheetView tabSelected="1" workbookViewId="1">
      <selection activeCell="D14" sqref="D14"/>
    </sheetView>
  </sheetViews>
  <sheetFormatPr defaultRowHeight="14.35" x14ac:dyDescent="0.5"/>
  <cols>
    <col min="1" max="1" width="2.5859375" customWidth="1"/>
    <col min="2" max="2" width="26" customWidth="1"/>
    <col min="3" max="3" width="20.29296875" customWidth="1"/>
    <col min="4" max="4" width="100.87890625" customWidth="1"/>
    <col min="5" max="5" width="4.1171875" customWidth="1"/>
    <col min="6" max="6" width="10.41015625" customWidth="1"/>
  </cols>
  <sheetData>
    <row r="1" spans="2:17" ht="19.7" thickBot="1" x14ac:dyDescent="0.7">
      <c r="B1" s="37" t="s">
        <v>0</v>
      </c>
      <c r="C1" s="37"/>
      <c r="D1" s="37"/>
    </row>
    <row r="2" spans="2:17" ht="14.7" thickTop="1" x14ac:dyDescent="0.5">
      <c r="B2" s="39" t="s">
        <v>1</v>
      </c>
      <c r="C2" s="39"/>
      <c r="D2" s="39"/>
    </row>
    <row r="3" spans="2:17" ht="21" thickBot="1" x14ac:dyDescent="0.75">
      <c r="B3" s="41" t="s">
        <v>2</v>
      </c>
      <c r="C3" s="41"/>
      <c r="D3" s="41"/>
      <c r="F3" s="40" t="s">
        <v>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2:17" ht="14.7" thickTop="1" x14ac:dyDescent="0.5">
      <c r="B4" s="7" t="s">
        <v>4</v>
      </c>
      <c r="C4" s="3">
        <v>2</v>
      </c>
      <c r="D4" s="12" t="s">
        <v>5</v>
      </c>
      <c r="E4" s="2"/>
    </row>
    <row r="5" spans="2:17" ht="28.7" x14ac:dyDescent="0.5">
      <c r="B5" s="8" t="s">
        <v>6</v>
      </c>
      <c r="C5" s="3">
        <v>2</v>
      </c>
      <c r="D5" s="13" t="s">
        <v>7</v>
      </c>
      <c r="E5" s="2"/>
    </row>
    <row r="6" spans="2:17" x14ac:dyDescent="0.5">
      <c r="B6" s="8" t="s">
        <v>8</v>
      </c>
      <c r="C6" s="3">
        <v>3</v>
      </c>
      <c r="D6" s="13" t="s">
        <v>9</v>
      </c>
      <c r="E6" s="2"/>
    </row>
    <row r="7" spans="2:17" x14ac:dyDescent="0.5">
      <c r="B7" s="19" t="s">
        <v>10</v>
      </c>
      <c r="C7" s="31">
        <f>2*C4*C5+2*C6</f>
        <v>14</v>
      </c>
      <c r="D7" s="19" t="s">
        <v>11</v>
      </c>
    </row>
    <row r="8" spans="2:17" ht="17" thickBot="1" x14ac:dyDescent="0.55000000000000004">
      <c r="B8" s="42" t="s">
        <v>12</v>
      </c>
      <c r="C8" s="42"/>
      <c r="D8" s="42"/>
    </row>
    <row r="9" spans="2:17" ht="14.7" thickTop="1" x14ac:dyDescent="0.5">
      <c r="B9" s="7" t="s">
        <v>13</v>
      </c>
      <c r="C9" s="5" t="s">
        <v>112</v>
      </c>
      <c r="D9" s="13" t="s">
        <v>15</v>
      </c>
    </row>
    <row r="10" spans="2:17" x14ac:dyDescent="0.5">
      <c r="B10" s="7" t="s">
        <v>16</v>
      </c>
      <c r="C10" s="5">
        <v>20</v>
      </c>
      <c r="D10" s="13" t="s">
        <v>17</v>
      </c>
    </row>
    <row r="11" spans="2:17" x14ac:dyDescent="0.5">
      <c r="B11" s="7" t="s">
        <v>18</v>
      </c>
      <c r="C11" s="5">
        <v>0</v>
      </c>
      <c r="D11" s="13" t="s">
        <v>19</v>
      </c>
      <c r="E11" s="2"/>
    </row>
    <row r="12" spans="2:17" x14ac:dyDescent="0.5">
      <c r="B12" s="7" t="s">
        <v>20</v>
      </c>
      <c r="C12" s="5">
        <v>0</v>
      </c>
      <c r="D12" s="13" t="s">
        <v>21</v>
      </c>
      <c r="E12" s="2"/>
    </row>
    <row r="13" spans="2:17" x14ac:dyDescent="0.5">
      <c r="B13" s="7" t="s">
        <v>22</v>
      </c>
      <c r="C13" s="5">
        <v>0</v>
      </c>
      <c r="D13" s="13" t="s">
        <v>23</v>
      </c>
      <c r="E13" s="2"/>
    </row>
    <row r="14" spans="2:17" x14ac:dyDescent="0.5">
      <c r="B14" s="7" t="s">
        <v>24</v>
      </c>
      <c r="C14" s="5">
        <v>1</v>
      </c>
      <c r="D14" s="13" t="s">
        <v>25</v>
      </c>
      <c r="E14" s="2"/>
    </row>
    <row r="15" spans="2:17" x14ac:dyDescent="0.5">
      <c r="B15" s="7" t="s">
        <v>114</v>
      </c>
      <c r="C15" s="5">
        <v>0</v>
      </c>
      <c r="D15" s="13" t="s">
        <v>117</v>
      </c>
      <c r="E15" s="2"/>
    </row>
    <row r="16" spans="2:17" x14ac:dyDescent="0.5">
      <c r="B16" s="7" t="s">
        <v>115</v>
      </c>
      <c r="C16" s="5">
        <v>0</v>
      </c>
      <c r="D16" s="13" t="s">
        <v>116</v>
      </c>
      <c r="E16" s="2"/>
    </row>
    <row r="17" spans="2:8" x14ac:dyDescent="0.5">
      <c r="B17" s="7" t="s">
        <v>26</v>
      </c>
      <c r="C17" s="5">
        <v>0</v>
      </c>
      <c r="D17" s="13" t="s">
        <v>27</v>
      </c>
      <c r="E17" s="2"/>
    </row>
    <row r="18" spans="2:8" x14ac:dyDescent="0.5">
      <c r="B18" s="7" t="s">
        <v>28</v>
      </c>
      <c r="C18" s="5">
        <v>1</v>
      </c>
      <c r="D18" s="13" t="s">
        <v>29</v>
      </c>
      <c r="E18" s="2"/>
    </row>
    <row r="19" spans="2:8" x14ac:dyDescent="0.5">
      <c r="B19" s="7" t="s">
        <v>30</v>
      </c>
      <c r="C19" s="5">
        <v>0</v>
      </c>
      <c r="D19" s="13" t="s">
        <v>31</v>
      </c>
      <c r="E19" s="2"/>
    </row>
    <row r="20" spans="2:8" x14ac:dyDescent="0.5">
      <c r="B20" s="19" t="s">
        <v>32</v>
      </c>
      <c r="C20" s="30" cm="1">
        <f t="array" ref="C20">INDEX(Tables!L:L, MATCH(C9, Tables!E:E, 0))+SUMPRODUCT(INDEX(OperatorSpecs[[Keypad  Current 
(A)]:[OXI Current 
(A)]], MATCH(C9, OperatorSpecs[Operator Type], 0), MATCH(B11:B18,Tables!M11:T11, 0)), C11:C18)+(C19/1000)</f>
        <v>9.2999999999999999E-2</v>
      </c>
      <c r="D20" s="27" t="str">
        <f>IF(AND(INDEX(OperatorSpecs[BB Current 
(A)], MATCH(C9, OperatorSpecs[Operator Type], 0))="NA", C14+C18&gt;0), "ERROR: controller does not support BlueBus or OXI", IF(AND(INDEX(OperatorSpecs[Ethernet Current 
(A)], MATCH(C9, OperatorSpecs[Operator Type], 0))="NA", C15+C16&gt;0), "ERROR: controller does not support Ethernet",
""))</f>
        <v/>
      </c>
    </row>
    <row r="21" spans="2:8" x14ac:dyDescent="0.5">
      <c r="B21" s="19" t="s">
        <v>33</v>
      </c>
      <c r="C21" s="29">
        <f>INDEX(Tables!I:I, MATCH(C9, Tables!E:E, 0))</f>
        <v>24</v>
      </c>
      <c r="D21" s="27" t="str">
        <f>IF(C18&gt;1, "ERROR: Only 1 OXI reciever is supported.", "")</f>
        <v/>
      </c>
    </row>
    <row r="22" spans="2:8" x14ac:dyDescent="0.5">
      <c r="B22" s="19" t="s">
        <v>34</v>
      </c>
      <c r="C22" s="29">
        <f>C20*C21*24</f>
        <v>53.568000000000005</v>
      </c>
      <c r="D22" s="4"/>
    </row>
    <row r="23" spans="2:8" x14ac:dyDescent="0.5">
      <c r="B23" s="19" t="s">
        <v>35</v>
      </c>
      <c r="C23" s="29">
        <f>INDEX(Tables!H:H, MATCH(C9, Tables!E:E, 0))</f>
        <v>1.3333333333333333</v>
      </c>
      <c r="D23" s="4"/>
    </row>
    <row r="24" spans="2:8" ht="17" thickBot="1" x14ac:dyDescent="0.55000000000000004">
      <c r="B24" s="42" t="s">
        <v>36</v>
      </c>
      <c r="C24" s="42"/>
      <c r="D24" s="42"/>
    </row>
    <row r="25" spans="2:8" ht="14.7" thickTop="1" x14ac:dyDescent="0.5">
      <c r="B25" s="7" t="s">
        <v>37</v>
      </c>
      <c r="C25" s="5">
        <v>3.3</v>
      </c>
      <c r="D25" s="12" t="s">
        <v>38</v>
      </c>
      <c r="E25" s="2"/>
    </row>
    <row r="26" spans="2:8" x14ac:dyDescent="0.5">
      <c r="B26" s="7" t="s">
        <v>39</v>
      </c>
      <c r="C26" s="5">
        <v>3</v>
      </c>
      <c r="D26" s="12" t="s">
        <v>110</v>
      </c>
      <c r="E26" s="2"/>
    </row>
    <row r="27" spans="2:8" x14ac:dyDescent="0.5">
      <c r="B27" s="7" t="s">
        <v>40</v>
      </c>
      <c r="C27" s="15">
        <v>0.5</v>
      </c>
      <c r="D27" s="12" t="s">
        <v>41</v>
      </c>
    </row>
    <row r="28" spans="2:8" x14ac:dyDescent="0.5">
      <c r="B28" s="7" t="s">
        <v>42</v>
      </c>
      <c r="C28" s="16">
        <v>3</v>
      </c>
      <c r="D28" s="12" t="s">
        <v>43</v>
      </c>
    </row>
    <row r="29" spans="2:8" x14ac:dyDescent="0.5">
      <c r="B29" s="4"/>
      <c r="C29" s="4"/>
      <c r="D29" s="4"/>
    </row>
    <row r="30" spans="2:8" ht="19.7" thickBot="1" x14ac:dyDescent="0.55000000000000004">
      <c r="B30" s="38" t="s">
        <v>44</v>
      </c>
      <c r="C30" s="38"/>
      <c r="D30" s="38"/>
    </row>
    <row r="31" spans="2:8" ht="14.7" thickTop="1" x14ac:dyDescent="0.5">
      <c r="B31" s="23" t="s">
        <v>45</v>
      </c>
      <c r="C31" s="21">
        <f>IF(C20&gt;0, C7*C23+C22, "ERROR")</f>
        <v>72.234666666666669</v>
      </c>
      <c r="D31" s="22" t="s">
        <v>46</v>
      </c>
      <c r="H31" s="6"/>
    </row>
    <row r="32" spans="2:8" ht="27.95" customHeight="1" x14ac:dyDescent="0.5">
      <c r="B32" s="24" t="str">
        <f>_xlfn.CONCAT("Battery Capacity at ", C21, "V (Ah)")</f>
        <v>Battery Capacity at 24V (Ah)</v>
      </c>
      <c r="C32" s="21">
        <f>(C31*MAX(C26, 1)/C21)/(1-C27)</f>
        <v>18.058666666666667</v>
      </c>
      <c r="D32" s="22" t="str">
        <f>IF(C21=24,_xlfn.CONCAT("Connect TWO 12v batteries in series. Each battery capacity should be rated more than ",CEILING(C32,1),"Ah"),_xlfn.CONCAT("Connect ONE 12v battery. The battery should be rated more than ",CEILING(C32,1),"Ah. 
Or connect TWO 12v batteries in parallel each battery should be more than ",CEILING(C32/2,1),"Ah"))</f>
        <v>Connect TWO 12v batteries in series. Each battery capacity should be rated more than 19Ah</v>
      </c>
    </row>
    <row r="33" spans="2:4" ht="27.45" customHeight="1" x14ac:dyDescent="0.5">
      <c r="B33" s="23" t="s">
        <v>47</v>
      </c>
      <c r="C33" s="21">
        <f>(C31+((C32*C21)/C28))/C25</f>
        <v>65.667878787878792</v>
      </c>
      <c r="D33" s="22" t="str">
        <f>IF(C21=24,_xlfn.CONCAT("Connect TWO 12v Solar panels in series. Each Panel should be rated more than ",CEILING(C33/2,1),"W"),_xlfn.CONCAT("Connect ONE 12v Solar panel. The Panel should be rated more than ",CEILING(C33,1),"W. 
Or connect TWO 12v Solar panels in parallel. The Panels should be rated more than ",CEILING(C33/2,1),"W"))</f>
        <v>Connect TWO 12v Solar panels in series. Each Panel should be rated more than 33W</v>
      </c>
    </row>
    <row r="34" spans="2:4" x14ac:dyDescent="0.5">
      <c r="B34" s="23" t="s">
        <v>48</v>
      </c>
      <c r="C34" s="21" t="str">
        <f>IF(((C32/C28)/6)&lt;INDEX(Tables!K:K, MATCH(C9, Tables!E:E, 0)), "On-Board", "External")</f>
        <v>On-Board</v>
      </c>
      <c r="D34" s="22" t="str">
        <f>IF(C34="External",_xlfn.CONCAT("Use an external MPPT controller and battery charger that is rated for at least ",_xlfn.CEILING.MATH((((C32/C28)/6)*C21),10),"W. Or extend the ",B28," above."),_xlfn.CONCAT("The charger built into ",C9," is adequate for your design"))</f>
        <v>The charger built into SlideSmart 535 is adequate for your design</v>
      </c>
    </row>
    <row r="36" spans="2:4" x14ac:dyDescent="0.5">
      <c r="B36" s="25" t="s">
        <v>49</v>
      </c>
      <c r="C36" s="26">
        <f>C31/24</f>
        <v>3.0097777777777779</v>
      </c>
      <c r="D36" s="20"/>
    </row>
    <row r="37" spans="2:4" x14ac:dyDescent="0.5">
      <c r="B37" s="25" t="s">
        <v>50</v>
      </c>
      <c r="C37" s="26">
        <f>((C33-C36)/C21)*0.8</f>
        <v>2.0886033670033672</v>
      </c>
      <c r="D37" s="20" t="s">
        <v>51</v>
      </c>
    </row>
    <row r="38" spans="2:4" x14ac:dyDescent="0.5">
      <c r="B38" s="25" t="s">
        <v>52</v>
      </c>
      <c r="C38" s="26">
        <f>((C32/C28)/6)</f>
        <v>1.0032592592592593</v>
      </c>
      <c r="D38" s="20" t="s">
        <v>53</v>
      </c>
    </row>
    <row r="39" spans="2:4" x14ac:dyDescent="0.5">
      <c r="B39" s="25"/>
      <c r="C39" s="25"/>
    </row>
    <row r="40" spans="2:4" x14ac:dyDescent="0.5">
      <c r="B40" s="25"/>
      <c r="C40" s="25"/>
    </row>
    <row r="41" spans="2:4" x14ac:dyDescent="0.5">
      <c r="B41" s="25"/>
      <c r="C41" s="25"/>
    </row>
  </sheetData>
  <sheetProtection algorithmName="SHA-512" hashValue="e5s/nZ3mLdmPzW+OhofZZS/Fu5EgmSB0UO93cE/EMoNnvmDtVF+c2mvG709zJyFIzrsTAYhzfFl+2ZpTKYSqrA==" saltValue="R/gsh4eNQDb1U8TQYjVMJw==" spinCount="100000" sheet="1" objects="1" scenarios="1"/>
  <protectedRanges>
    <protectedRange sqref="C4:C6 C9:C19 C25:C28" name="Range1"/>
  </protectedRanges>
  <mergeCells count="7">
    <mergeCell ref="B1:D1"/>
    <mergeCell ref="B30:D30"/>
    <mergeCell ref="B2:D2"/>
    <mergeCell ref="F3:Q3"/>
    <mergeCell ref="B3:D3"/>
    <mergeCell ref="B8:D8"/>
    <mergeCell ref="B24:D24"/>
  </mergeCells>
  <phoneticPr fontId="9" type="noConversion"/>
  <dataValidations count="1">
    <dataValidation allowBlank="1" showInputMessage="1" showErrorMessage="1" promptTitle="Select Type" sqref="C10" xr:uid="{00000000-0002-0000-0000-000000000000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Type" xr:uid="{00000000-0002-0000-0000-000001000000}">
          <x14:formula1>
            <xm:f>Tables!$E$13:$E$33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48"/>
  <sheetViews>
    <sheetView workbookViewId="0">
      <selection activeCell="C10" sqref="C10"/>
    </sheetView>
    <sheetView workbookViewId="1">
      <selection activeCell="C22" sqref="C22"/>
    </sheetView>
  </sheetViews>
  <sheetFormatPr defaultRowHeight="14.35" x14ac:dyDescent="0.5"/>
  <cols>
    <col min="2" max="2" width="10.5859375" bestFit="1" customWidth="1"/>
    <col min="3" max="3" width="23.87890625" customWidth="1"/>
    <col min="5" max="5" width="24.703125" customWidth="1"/>
    <col min="6" max="6" width="12" customWidth="1"/>
    <col min="7" max="7" width="12.703125" customWidth="1"/>
    <col min="8" max="8" width="10.41015625" customWidth="1"/>
    <col min="9" max="9" width="9.41015625" customWidth="1"/>
    <col min="10" max="10" width="11.29296875" bestFit="1" customWidth="1"/>
    <col min="11" max="11" width="10.5859375" customWidth="1"/>
    <col min="12" max="12" width="14.703125" customWidth="1"/>
    <col min="13" max="13" width="9.87890625" customWidth="1"/>
    <col min="14" max="14" width="15.703125" customWidth="1"/>
    <col min="15" max="15" width="15.5859375" bestFit="1" customWidth="1"/>
    <col min="16" max="16" width="16.87890625" bestFit="1" customWidth="1"/>
    <col min="17" max="18" width="16.87890625" customWidth="1"/>
    <col min="19" max="19" width="15.1171875" customWidth="1"/>
    <col min="20" max="20" width="11.29296875" bestFit="1" customWidth="1"/>
  </cols>
  <sheetData>
    <row r="1" spans="1:20" ht="17" thickBot="1" x14ac:dyDescent="0.6">
      <c r="A1" s="41" t="s">
        <v>54</v>
      </c>
      <c r="B1" s="41"/>
      <c r="C1" s="14"/>
      <c r="D1" s="14"/>
    </row>
    <row r="2" spans="1:20" ht="14.7" thickTop="1" x14ac:dyDescent="0.5">
      <c r="A2" s="18" t="s">
        <v>55</v>
      </c>
      <c r="B2" s="18" t="s">
        <v>56</v>
      </c>
      <c r="C2" s="18" t="s">
        <v>57</v>
      </c>
    </row>
    <row r="3" spans="1:20" x14ac:dyDescent="0.5">
      <c r="A3" t="s">
        <v>58</v>
      </c>
      <c r="B3" t="s">
        <v>59</v>
      </c>
      <c r="C3" s="43" t="s">
        <v>60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0" x14ac:dyDescent="0.5">
      <c r="A4" t="s">
        <v>61</v>
      </c>
      <c r="B4" s="17">
        <v>45667</v>
      </c>
      <c r="C4" s="43" t="s">
        <v>62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0" x14ac:dyDescent="0.5">
      <c r="A5" t="s">
        <v>63</v>
      </c>
      <c r="B5" s="28">
        <v>45680</v>
      </c>
      <c r="C5" s="43" t="s">
        <v>64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20" x14ac:dyDescent="0.5">
      <c r="A6" t="s">
        <v>65</v>
      </c>
      <c r="B6" s="28">
        <v>45750</v>
      </c>
      <c r="C6" s="43" t="s">
        <v>66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20" x14ac:dyDescent="0.5">
      <c r="A7" t="s">
        <v>108</v>
      </c>
      <c r="B7" s="28">
        <v>45782</v>
      </c>
      <c r="C7" s="43" t="s">
        <v>109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20" ht="17.7" customHeight="1" x14ac:dyDescent="0.5">
      <c r="A8" t="s">
        <v>118</v>
      </c>
      <c r="B8" s="36">
        <v>45901</v>
      </c>
      <c r="C8" s="43" t="s">
        <v>121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20" x14ac:dyDescent="0.5">
      <c r="A9" t="s">
        <v>122</v>
      </c>
      <c r="B9" t="s">
        <v>123</v>
      </c>
      <c r="C9" s="43" t="s">
        <v>124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1" spans="1:20" x14ac:dyDescent="0.5">
      <c r="M11" t="str">
        <f>Worksheet!B11</f>
        <v>Number of Keypads</v>
      </c>
      <c r="N11" t="str">
        <f>Worksheet!B12</f>
        <v>Loop Detectors</v>
      </c>
      <c r="O11" t="str">
        <f>Worksheet!B13</f>
        <v>7 Day Event Timer</v>
      </c>
      <c r="P11" t="str">
        <f>Worksheet!B14</f>
        <v>BlueBus Photoeyes</v>
      </c>
      <c r="Q11" t="s">
        <v>114</v>
      </c>
      <c r="R11" t="s">
        <v>115</v>
      </c>
      <c r="S11" t="str">
        <f>Worksheet!B17</f>
        <v>Stand Alone Receiver</v>
      </c>
      <c r="T11" t="str">
        <f>Worksheet!B18</f>
        <v>OXI Receiver</v>
      </c>
    </row>
    <row r="12" spans="1:20" ht="43" x14ac:dyDescent="0.5">
      <c r="E12" s="11" t="s">
        <v>13</v>
      </c>
      <c r="F12" s="34" t="s">
        <v>67</v>
      </c>
      <c r="G12" s="34" t="s">
        <v>68</v>
      </c>
      <c r="H12" s="34" t="s">
        <v>69</v>
      </c>
      <c r="I12" s="34" t="s">
        <v>70</v>
      </c>
      <c r="J12" s="35" t="s">
        <v>71</v>
      </c>
      <c r="K12" s="34" t="s">
        <v>72</v>
      </c>
      <c r="L12" s="34" t="s">
        <v>73</v>
      </c>
      <c r="M12" s="34" t="s">
        <v>74</v>
      </c>
      <c r="N12" s="34" t="s">
        <v>75</v>
      </c>
      <c r="O12" s="34" t="s">
        <v>76</v>
      </c>
      <c r="P12" s="34" t="s">
        <v>77</v>
      </c>
      <c r="Q12" s="34" t="s">
        <v>119</v>
      </c>
      <c r="R12" s="34" t="s">
        <v>120</v>
      </c>
      <c r="S12" s="34" t="s">
        <v>78</v>
      </c>
      <c r="T12" s="34" t="s">
        <v>79</v>
      </c>
    </row>
    <row r="13" spans="1:20" x14ac:dyDescent="0.5">
      <c r="E13" s="1" t="s">
        <v>80</v>
      </c>
      <c r="F13">
        <v>5</v>
      </c>
      <c r="G13">
        <v>30</v>
      </c>
      <c r="H13" s="6">
        <f>F13*G13/3600*OperatorSpecs[[#This Row],[Voltage (V)]]</f>
        <v>0.5</v>
      </c>
      <c r="I13">
        <v>12</v>
      </c>
      <c r="J13" s="33">
        <v>636</v>
      </c>
      <c r="K13" s="32">
        <v>0</v>
      </c>
      <c r="L13" s="10">
        <v>1.4999999999999999E-2</v>
      </c>
      <c r="M13">
        <v>2.5000000000000001E-2</v>
      </c>
      <c r="N13">
        <v>0.05</v>
      </c>
      <c r="O13">
        <v>0.03</v>
      </c>
      <c r="P13" t="s">
        <v>81</v>
      </c>
      <c r="Q13" t="s">
        <v>81</v>
      </c>
      <c r="R13" t="s">
        <v>81</v>
      </c>
      <c r="S13">
        <v>0.05</v>
      </c>
      <c r="T13" t="s">
        <v>81</v>
      </c>
    </row>
    <row r="14" spans="1:20" x14ac:dyDescent="0.5">
      <c r="E14" s="1" t="s">
        <v>82</v>
      </c>
      <c r="F14">
        <v>10</v>
      </c>
      <c r="G14">
        <v>30</v>
      </c>
      <c r="H14" s="6">
        <f>F14*G14/3600*OperatorSpecs[[#This Row],[Voltage (V)]]</f>
        <v>1</v>
      </c>
      <c r="I14">
        <v>12</v>
      </c>
      <c r="J14" s="33">
        <v>636</v>
      </c>
      <c r="K14" s="32">
        <v>0</v>
      </c>
      <c r="L14" s="10">
        <v>1.4999999999999999E-2</v>
      </c>
      <c r="M14">
        <v>2.5000000000000001E-2</v>
      </c>
      <c r="N14">
        <v>0.05</v>
      </c>
      <c r="O14">
        <v>0.03</v>
      </c>
      <c r="P14" t="s">
        <v>81</v>
      </c>
      <c r="Q14" t="s">
        <v>81</v>
      </c>
      <c r="R14" t="s">
        <v>81</v>
      </c>
      <c r="S14">
        <v>0.05</v>
      </c>
      <c r="T14" t="s">
        <v>81</v>
      </c>
    </row>
    <row r="15" spans="1:20" x14ac:dyDescent="0.5">
      <c r="E15" s="1" t="s">
        <v>83</v>
      </c>
      <c r="F15">
        <v>5</v>
      </c>
      <c r="G15">
        <v>30</v>
      </c>
      <c r="H15" s="6">
        <f>F15*G15/3600*OperatorSpecs[[#This Row],[Voltage (V)]]</f>
        <v>0.5</v>
      </c>
      <c r="I15">
        <v>12</v>
      </c>
      <c r="J15" s="33">
        <v>1050</v>
      </c>
      <c r="K15">
        <v>1</v>
      </c>
      <c r="L15" s="10">
        <v>1.7000000000000001E-2</v>
      </c>
      <c r="M15">
        <v>2.5000000000000001E-2</v>
      </c>
      <c r="N15">
        <v>0.05</v>
      </c>
      <c r="O15">
        <v>0.03</v>
      </c>
      <c r="P15">
        <v>3.5000000000000003E-2</v>
      </c>
      <c r="Q15" t="s">
        <v>81</v>
      </c>
      <c r="R15" t="s">
        <v>81</v>
      </c>
      <c r="S15">
        <v>0.05</v>
      </c>
      <c r="T15">
        <v>0.01</v>
      </c>
    </row>
    <row r="16" spans="1:20" x14ac:dyDescent="0.5">
      <c r="E16" s="1" t="s">
        <v>84</v>
      </c>
      <c r="F16">
        <v>10</v>
      </c>
      <c r="G16">
        <v>30</v>
      </c>
      <c r="H16" s="6">
        <f>F16*G16/3600*OperatorSpecs[[#This Row],[Voltage (V)]]</f>
        <v>1</v>
      </c>
      <c r="I16">
        <v>12</v>
      </c>
      <c r="J16" s="33">
        <v>1050</v>
      </c>
      <c r="K16">
        <v>1</v>
      </c>
      <c r="L16" s="10">
        <v>1.7000000000000001E-2</v>
      </c>
      <c r="M16">
        <v>2.5000000000000001E-2</v>
      </c>
      <c r="N16">
        <v>0.05</v>
      </c>
      <c r="O16">
        <v>0.03</v>
      </c>
      <c r="P16">
        <v>3.5000000000000003E-2</v>
      </c>
      <c r="Q16" t="s">
        <v>81</v>
      </c>
      <c r="R16" t="s">
        <v>81</v>
      </c>
      <c r="S16">
        <v>0.05</v>
      </c>
      <c r="T16">
        <v>0.01</v>
      </c>
    </row>
    <row r="17" spans="5:20" x14ac:dyDescent="0.5">
      <c r="E17" s="1" t="s">
        <v>85</v>
      </c>
      <c r="F17">
        <v>5</v>
      </c>
      <c r="G17">
        <v>30</v>
      </c>
      <c r="H17" s="6">
        <f>F17*G17/3600*OperatorSpecs[[#This Row],[Voltage (V)]]</f>
        <v>0.5</v>
      </c>
      <c r="I17">
        <v>12</v>
      </c>
      <c r="J17" s="33">
        <v>1050</v>
      </c>
      <c r="K17">
        <v>1</v>
      </c>
      <c r="L17" s="10">
        <v>1.7000000000000001E-2</v>
      </c>
      <c r="M17">
        <v>2.5000000000000001E-2</v>
      </c>
      <c r="N17">
        <v>0.05</v>
      </c>
      <c r="O17">
        <v>0.03</v>
      </c>
      <c r="P17">
        <v>3.5000000000000003E-2</v>
      </c>
      <c r="Q17" t="s">
        <v>81</v>
      </c>
      <c r="R17" t="s">
        <v>81</v>
      </c>
      <c r="S17">
        <v>0.05</v>
      </c>
      <c r="T17">
        <v>0.01</v>
      </c>
    </row>
    <row r="18" spans="5:20" x14ac:dyDescent="0.5">
      <c r="E18" s="9" t="s">
        <v>86</v>
      </c>
      <c r="F18">
        <v>10</v>
      </c>
      <c r="G18">
        <v>30</v>
      </c>
      <c r="H18" s="6">
        <f>F18*G18/3600*OperatorSpecs[[#This Row],[Voltage (V)]]</f>
        <v>1</v>
      </c>
      <c r="I18">
        <v>12</v>
      </c>
      <c r="J18" s="33">
        <v>1050</v>
      </c>
      <c r="K18">
        <v>1</v>
      </c>
      <c r="L18" s="10">
        <v>1.7000000000000001E-2</v>
      </c>
      <c r="M18">
        <v>2.5000000000000001E-2</v>
      </c>
      <c r="N18">
        <v>0.05</v>
      </c>
      <c r="O18">
        <v>0.03</v>
      </c>
      <c r="P18">
        <v>3.5000000000000003E-2</v>
      </c>
      <c r="Q18" t="s">
        <v>81</v>
      </c>
      <c r="R18" t="s">
        <v>81</v>
      </c>
      <c r="S18">
        <v>0.05</v>
      </c>
      <c r="T18">
        <v>0.01</v>
      </c>
    </row>
    <row r="19" spans="5:20" x14ac:dyDescent="0.5">
      <c r="E19" s="1" t="s">
        <v>87</v>
      </c>
      <c r="F19">
        <v>5</v>
      </c>
      <c r="G19">
        <v>30</v>
      </c>
      <c r="H19" s="6">
        <f>F19*G19/3600*OperatorSpecs[[#This Row],[Voltage (V)]]</f>
        <v>0.5</v>
      </c>
      <c r="I19">
        <v>12</v>
      </c>
      <c r="J19" s="33" t="s">
        <v>88</v>
      </c>
      <c r="K19">
        <v>2</v>
      </c>
      <c r="L19" s="10">
        <v>0.01</v>
      </c>
      <c r="M19">
        <v>2.5000000000000001E-2</v>
      </c>
      <c r="N19">
        <v>0.05</v>
      </c>
      <c r="O19">
        <v>0.03</v>
      </c>
      <c r="P19">
        <v>1E-3</v>
      </c>
      <c r="Q19" t="s">
        <v>81</v>
      </c>
      <c r="R19" t="s">
        <v>81</v>
      </c>
      <c r="S19">
        <v>0.05</v>
      </c>
      <c r="T19">
        <v>0.01</v>
      </c>
    </row>
    <row r="20" spans="5:20" x14ac:dyDescent="0.5">
      <c r="E20" s="1" t="s">
        <v>89</v>
      </c>
      <c r="F20">
        <v>10</v>
      </c>
      <c r="G20">
        <v>30</v>
      </c>
      <c r="H20" s="6">
        <f>F20*G20/3600*OperatorSpecs[[#This Row],[Voltage (V)]]</f>
        <v>1</v>
      </c>
      <c r="I20">
        <v>12</v>
      </c>
      <c r="J20" s="33" t="s">
        <v>88</v>
      </c>
      <c r="K20">
        <v>2</v>
      </c>
      <c r="L20" s="10">
        <v>0.01</v>
      </c>
      <c r="M20">
        <v>2.5000000000000001E-2</v>
      </c>
      <c r="N20">
        <v>0.05</v>
      </c>
      <c r="O20">
        <v>0.03</v>
      </c>
      <c r="P20">
        <v>1E-3</v>
      </c>
      <c r="Q20" t="s">
        <v>81</v>
      </c>
      <c r="R20" t="s">
        <v>81</v>
      </c>
      <c r="S20">
        <v>0.05</v>
      </c>
      <c r="T20">
        <v>0.01</v>
      </c>
    </row>
    <row r="21" spans="5:20" x14ac:dyDescent="0.5">
      <c r="E21" s="1" t="s">
        <v>90</v>
      </c>
      <c r="F21">
        <v>5</v>
      </c>
      <c r="G21">
        <v>30</v>
      </c>
      <c r="H21" s="6">
        <f>F21*G21/3600*OperatorSpecs[[#This Row],[Voltage (V)]]</f>
        <v>0.5</v>
      </c>
      <c r="I21">
        <v>12</v>
      </c>
      <c r="J21" s="33" t="s">
        <v>88</v>
      </c>
      <c r="K21">
        <v>2</v>
      </c>
      <c r="L21" s="10">
        <v>0.01</v>
      </c>
      <c r="M21">
        <v>2.5000000000000001E-2</v>
      </c>
      <c r="N21">
        <v>0.05</v>
      </c>
      <c r="O21">
        <v>0.03</v>
      </c>
      <c r="P21">
        <v>1E-3</v>
      </c>
      <c r="Q21" t="s">
        <v>81</v>
      </c>
      <c r="R21" t="s">
        <v>81</v>
      </c>
      <c r="S21">
        <v>0.05</v>
      </c>
      <c r="T21">
        <v>0.01</v>
      </c>
    </row>
    <row r="22" spans="5:20" x14ac:dyDescent="0.5">
      <c r="E22" s="9" t="s">
        <v>91</v>
      </c>
      <c r="F22">
        <v>10</v>
      </c>
      <c r="G22">
        <v>30</v>
      </c>
      <c r="H22" s="6">
        <f>F22*G22/3600*OperatorSpecs[[#This Row],[Voltage (V)]]</f>
        <v>1</v>
      </c>
      <c r="I22">
        <v>12</v>
      </c>
      <c r="J22" s="33" t="s">
        <v>88</v>
      </c>
      <c r="K22">
        <v>2</v>
      </c>
      <c r="L22" s="10">
        <v>0.01</v>
      </c>
      <c r="M22">
        <v>2.5000000000000001E-2</v>
      </c>
      <c r="N22">
        <v>0.05</v>
      </c>
      <c r="O22">
        <v>0.03</v>
      </c>
      <c r="P22">
        <v>1E-3</v>
      </c>
      <c r="Q22" t="s">
        <v>81</v>
      </c>
      <c r="R22" t="s">
        <v>81</v>
      </c>
      <c r="S22">
        <v>0.05</v>
      </c>
      <c r="T22">
        <v>0.01</v>
      </c>
    </row>
    <row r="23" spans="5:20" x14ac:dyDescent="0.5">
      <c r="E23" s="1" t="s">
        <v>92</v>
      </c>
      <c r="F23">
        <v>5</v>
      </c>
      <c r="G23">
        <v>30</v>
      </c>
      <c r="H23" s="6">
        <f>F23*G23/3600*OperatorSpecs[[#This Row],[Voltage (V)]]</f>
        <v>0.5</v>
      </c>
      <c r="I23">
        <v>12</v>
      </c>
      <c r="J23" s="33" t="s">
        <v>88</v>
      </c>
      <c r="K23">
        <v>2</v>
      </c>
      <c r="L23" s="10">
        <v>0.01</v>
      </c>
      <c r="M23">
        <v>2.5000000000000001E-2</v>
      </c>
      <c r="N23">
        <v>0.05</v>
      </c>
      <c r="O23">
        <v>0.03</v>
      </c>
      <c r="P23">
        <v>1E-3</v>
      </c>
      <c r="Q23" t="s">
        <v>81</v>
      </c>
      <c r="R23" t="s">
        <v>81</v>
      </c>
      <c r="S23">
        <v>0.05</v>
      </c>
      <c r="T23">
        <v>0.01</v>
      </c>
    </row>
    <row r="24" spans="5:20" x14ac:dyDescent="0.5">
      <c r="E24" s="1" t="s">
        <v>93</v>
      </c>
      <c r="F24">
        <v>10</v>
      </c>
      <c r="G24">
        <v>30</v>
      </c>
      <c r="H24" s="6">
        <f>F24*G24/3600*OperatorSpecs[[#This Row],[Voltage (V)]]</f>
        <v>1</v>
      </c>
      <c r="I24">
        <v>12</v>
      </c>
      <c r="J24" s="33" t="s">
        <v>88</v>
      </c>
      <c r="K24">
        <v>2</v>
      </c>
      <c r="L24" s="10">
        <v>0.01</v>
      </c>
      <c r="M24">
        <v>2.5000000000000001E-2</v>
      </c>
      <c r="N24">
        <v>0.05</v>
      </c>
      <c r="O24">
        <v>0.03</v>
      </c>
      <c r="P24">
        <v>1E-3</v>
      </c>
      <c r="Q24" t="s">
        <v>81</v>
      </c>
      <c r="R24" t="s">
        <v>81</v>
      </c>
      <c r="S24">
        <v>0.05</v>
      </c>
      <c r="T24">
        <v>0.01</v>
      </c>
    </row>
    <row r="25" spans="5:20" x14ac:dyDescent="0.5">
      <c r="E25" s="9" t="s">
        <v>94</v>
      </c>
      <c r="F25">
        <v>7</v>
      </c>
      <c r="G25">
        <f>2*Worksheet!C10</f>
        <v>40</v>
      </c>
      <c r="H25" s="6">
        <f>F25*G25/3600*OperatorSpecs[[#This Row],[Voltage (V)]]</f>
        <v>0.93333333333333335</v>
      </c>
      <c r="I25">
        <v>12</v>
      </c>
      <c r="J25" s="33" t="s">
        <v>88</v>
      </c>
      <c r="K25">
        <v>2</v>
      </c>
      <c r="L25" s="10">
        <v>0.01</v>
      </c>
      <c r="M25">
        <v>2.5000000000000001E-2</v>
      </c>
      <c r="N25">
        <v>0.05</v>
      </c>
      <c r="O25">
        <v>0.03</v>
      </c>
      <c r="P25">
        <v>1E-3</v>
      </c>
      <c r="Q25" t="s">
        <v>81</v>
      </c>
      <c r="R25" t="s">
        <v>81</v>
      </c>
      <c r="S25">
        <v>0.05</v>
      </c>
      <c r="T25">
        <v>0.01</v>
      </c>
    </row>
    <row r="26" spans="5:20" x14ac:dyDescent="0.5">
      <c r="E26" s="1" t="s">
        <v>14</v>
      </c>
      <c r="F26">
        <v>5</v>
      </c>
      <c r="G26">
        <f>2*Worksheet!C10</f>
        <v>40</v>
      </c>
      <c r="H26" s="6">
        <f>F26*G26/3600*OperatorSpecs[[#This Row],[Voltage (V)]]</f>
        <v>1.3333333333333333</v>
      </c>
      <c r="I26">
        <v>24</v>
      </c>
      <c r="J26" s="33" t="s">
        <v>95</v>
      </c>
      <c r="K26">
        <v>10</v>
      </c>
      <c r="L26" s="10">
        <v>7.4999999999999997E-2</v>
      </c>
      <c r="M26">
        <v>2.5000000000000001E-2</v>
      </c>
      <c r="N26">
        <v>0.05</v>
      </c>
      <c r="O26">
        <v>0.03</v>
      </c>
      <c r="P26" t="s">
        <v>81</v>
      </c>
      <c r="Q26" t="s">
        <v>81</v>
      </c>
      <c r="R26" t="s">
        <v>81</v>
      </c>
      <c r="S26">
        <v>0.05</v>
      </c>
      <c r="T26" t="s">
        <v>81</v>
      </c>
    </row>
    <row r="27" spans="5:20" x14ac:dyDescent="0.5">
      <c r="E27" s="9" t="s">
        <v>96</v>
      </c>
      <c r="F27">
        <v>3.5</v>
      </c>
      <c r="G27">
        <v>30</v>
      </c>
      <c r="H27" s="6">
        <f>F27*G27/3600*OperatorSpecs[[#This Row],[Voltage (V)]]</f>
        <v>0.7</v>
      </c>
      <c r="I27">
        <v>24</v>
      </c>
      <c r="J27" s="33" t="s">
        <v>95</v>
      </c>
      <c r="K27">
        <v>10</v>
      </c>
      <c r="L27" s="10">
        <v>7.4999999999999997E-2</v>
      </c>
      <c r="M27">
        <v>2.5000000000000001E-2</v>
      </c>
      <c r="N27">
        <v>0.05</v>
      </c>
      <c r="O27">
        <v>0.03</v>
      </c>
      <c r="P27" t="s">
        <v>81</v>
      </c>
      <c r="Q27" t="s">
        <v>81</v>
      </c>
      <c r="R27" t="s">
        <v>81</v>
      </c>
      <c r="S27">
        <v>0.05</v>
      </c>
      <c r="T27" t="s">
        <v>81</v>
      </c>
    </row>
    <row r="28" spans="5:20" x14ac:dyDescent="0.5">
      <c r="E28" s="1" t="s">
        <v>97</v>
      </c>
      <c r="F28">
        <f>IF(Worksheet!C10&lt;14,2.2,1.4)</f>
        <v>1.4</v>
      </c>
      <c r="G28">
        <v>1.5</v>
      </c>
      <c r="H28" s="6">
        <f>F28*G28/3600*OperatorSpecs[[#This Row],[Voltage (V)]]</f>
        <v>1.3999999999999999E-2</v>
      </c>
      <c r="I28">
        <v>24</v>
      </c>
      <c r="J28" s="33" t="s">
        <v>95</v>
      </c>
      <c r="K28">
        <v>10</v>
      </c>
      <c r="L28" s="10">
        <v>7.4999999999999997E-2</v>
      </c>
      <c r="M28">
        <v>2.5000000000000001E-2</v>
      </c>
      <c r="N28">
        <v>0.05</v>
      </c>
      <c r="O28">
        <v>0.03</v>
      </c>
      <c r="P28" t="s">
        <v>81</v>
      </c>
      <c r="Q28" t="s">
        <v>81</v>
      </c>
      <c r="R28" t="s">
        <v>81</v>
      </c>
      <c r="S28">
        <v>0.05</v>
      </c>
      <c r="T28" t="s">
        <v>81</v>
      </c>
    </row>
    <row r="29" spans="5:20" x14ac:dyDescent="0.5">
      <c r="E29" s="1" t="s">
        <v>112</v>
      </c>
      <c r="F29">
        <v>5</v>
      </c>
      <c r="G29">
        <v>40</v>
      </c>
      <c r="H29" s="6">
        <f>F29*G29/3600*OperatorSpecs[[#This Row],[Voltage (V)]]</f>
        <v>1.3333333333333333</v>
      </c>
      <c r="I29">
        <v>24</v>
      </c>
      <c r="J29" t="s">
        <v>113</v>
      </c>
      <c r="K29">
        <v>7</v>
      </c>
      <c r="L29" s="10">
        <v>0.05</v>
      </c>
      <c r="M29">
        <v>2.5000000000000001E-2</v>
      </c>
      <c r="N29">
        <v>0.01</v>
      </c>
      <c r="O29">
        <v>0</v>
      </c>
      <c r="P29">
        <v>3.5000000000000003E-2</v>
      </c>
      <c r="Q29">
        <v>0.01</v>
      </c>
      <c r="R29">
        <v>8.5000000000000006E-2</v>
      </c>
      <c r="S29">
        <v>0.05</v>
      </c>
      <c r="T29">
        <v>8.0000000000000002E-3</v>
      </c>
    </row>
    <row r="30" spans="5:20" x14ac:dyDescent="0.5">
      <c r="E30" s="1" t="s">
        <v>111</v>
      </c>
      <c r="F30">
        <v>3.5</v>
      </c>
      <c r="G30">
        <v>30</v>
      </c>
      <c r="H30" s="6">
        <f>F30*G30/3600*OperatorSpecs[[#This Row],[Voltage (V)]]</f>
        <v>0.7</v>
      </c>
      <c r="I30">
        <v>24</v>
      </c>
      <c r="J30" t="s">
        <v>113</v>
      </c>
      <c r="K30">
        <v>7</v>
      </c>
      <c r="L30" s="10">
        <v>0.05</v>
      </c>
      <c r="M30">
        <v>2.5000000000000001E-2</v>
      </c>
      <c r="N30">
        <v>0.01</v>
      </c>
      <c r="O30">
        <v>0</v>
      </c>
      <c r="P30">
        <v>3.5000000000000003E-2</v>
      </c>
      <c r="Q30">
        <v>0.01</v>
      </c>
      <c r="R30">
        <v>8.5000000000000006E-2</v>
      </c>
      <c r="S30">
        <v>0.05</v>
      </c>
      <c r="T30">
        <v>8.0000000000000002E-3</v>
      </c>
    </row>
    <row r="31" spans="5:20" x14ac:dyDescent="0.5">
      <c r="E31" s="1"/>
      <c r="H31" s="6">
        <f>F31*G31/3600*OperatorSpecs[[#This Row],[Voltage (V)]]</f>
        <v>0</v>
      </c>
      <c r="K31" s="10"/>
      <c r="L31" s="10"/>
    </row>
    <row r="32" spans="5:20" x14ac:dyDescent="0.5">
      <c r="E32" s="1"/>
      <c r="H32" s="6">
        <f>F32*G32/3600*OperatorSpecs[[#This Row],[Voltage (V)]]</f>
        <v>0</v>
      </c>
      <c r="K32" s="10"/>
      <c r="L32" s="10"/>
    </row>
    <row r="33" spans="3:12" x14ac:dyDescent="0.5">
      <c r="E33" s="9"/>
      <c r="H33" s="6"/>
      <c r="L33" s="10"/>
    </row>
    <row r="37" spans="3:12" x14ac:dyDescent="0.5">
      <c r="C37" s="18" t="s">
        <v>98</v>
      </c>
    </row>
    <row r="38" spans="3:12" x14ac:dyDescent="0.5">
      <c r="C38" t="s">
        <v>99</v>
      </c>
    </row>
    <row r="39" spans="3:12" x14ac:dyDescent="0.5">
      <c r="C39" t="s">
        <v>100</v>
      </c>
    </row>
    <row r="40" spans="3:12" x14ac:dyDescent="0.5">
      <c r="C40" t="s">
        <v>101</v>
      </c>
    </row>
    <row r="43" spans="3:12" x14ac:dyDescent="0.5">
      <c r="C43" s="18" t="s">
        <v>102</v>
      </c>
    </row>
    <row r="44" spans="3:12" x14ac:dyDescent="0.5">
      <c r="C44" t="s">
        <v>103</v>
      </c>
    </row>
    <row r="45" spans="3:12" x14ac:dyDescent="0.5">
      <c r="C45" t="s">
        <v>104</v>
      </c>
    </row>
    <row r="46" spans="3:12" x14ac:dyDescent="0.5">
      <c r="C46" t="s">
        <v>105</v>
      </c>
    </row>
    <row r="47" spans="3:12" x14ac:dyDescent="0.5">
      <c r="C47" t="s">
        <v>106</v>
      </c>
    </row>
    <row r="48" spans="3:12" x14ac:dyDescent="0.5">
      <c r="C48" t="s">
        <v>107</v>
      </c>
    </row>
  </sheetData>
  <sheetProtection algorithmName="SHA-512" hashValue="eIFiNdRuCVCpSJc5NhboJsggIax0bPn2gT/IkZBHxmn232qbh7xs/VxtGO4nPhtAAvVVYP+Zt6t3/7Ug1tnqUw==" saltValue="a2TPOkeaWJWTmMKNAETpFw==" spinCount="100000" sheet="1" objects="1" scenarios="1"/>
  <mergeCells count="8">
    <mergeCell ref="C7:Q7"/>
    <mergeCell ref="C8:Q8"/>
    <mergeCell ref="C9:Q9"/>
    <mergeCell ref="A1:B1"/>
    <mergeCell ref="C3:Q3"/>
    <mergeCell ref="C4:Q4"/>
    <mergeCell ref="C5:Q5"/>
    <mergeCell ref="C6:Q6"/>
  </mergeCells>
  <phoneticPr fontId="9" type="noConversion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Allen</dc:creator>
  <cp:keywords/>
  <dc:description/>
  <cp:lastModifiedBy>John Frost</cp:lastModifiedBy>
  <cp:revision/>
  <dcterms:created xsi:type="dcterms:W3CDTF">2017-12-05T23:22:12Z</dcterms:created>
  <dcterms:modified xsi:type="dcterms:W3CDTF">2025-12-09T22:43:07Z</dcterms:modified>
  <cp:category/>
  <cp:contentStatus/>
</cp:coreProperties>
</file>