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1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niceforyou-my.sharepoint.com/personal/lisa_steinberg_niceforyou_com/Documents/HySecurity/"/>
    </mc:Choice>
  </mc:AlternateContent>
  <xr:revisionPtr revIDLastSave="0" documentId="8_{5BE86323-E60F-40DA-8608-D81F841611A5}" xr6:coauthVersionLast="47" xr6:coauthVersionMax="47" xr10:uidLastSave="{00000000-0000-0000-0000-000000000000}"/>
  <bookViews>
    <workbookView xWindow="-120" yWindow="-120" windowWidth="29040" windowHeight="15840" xr2:uid="{62F4BCAF-66EF-4F31-A235-93DA231D1F1E}"/>
  </bookViews>
  <sheets>
    <sheet name="Worksheet" sheetId="1" r:id="rId1"/>
    <sheet name="Tables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H13" i="2"/>
  <c r="H14" i="2"/>
  <c r="C19" i="1"/>
  <c r="H30" i="2"/>
  <c r="H31" i="2"/>
  <c r="H27" i="2"/>
  <c r="H29" i="2"/>
  <c r="H19" i="2"/>
  <c r="H20" i="2"/>
  <c r="H21" i="2"/>
  <c r="H22" i="2"/>
  <c r="H32" i="2"/>
  <c r="D19" i="1"/>
  <c r="R11" i="2"/>
  <c r="Q11" i="2"/>
  <c r="P11" i="2"/>
  <c r="O11" i="2"/>
  <c r="N11" i="2"/>
  <c r="M11" i="2"/>
  <c r="H24" i="2" l="1"/>
  <c r="H23" i="2"/>
  <c r="H16" i="2"/>
  <c r="B30" i="1" l="1"/>
  <c r="G25" i="2"/>
  <c r="H25" i="2" l="1"/>
  <c r="C18" i="1" l="1" a="1"/>
  <c r="C18" i="1" s="1"/>
  <c r="C7" i="1"/>
  <c r="C20" i="1" l="1"/>
  <c r="H17" i="2"/>
  <c r="H18" i="2"/>
  <c r="H15" i="2"/>
  <c r="F28" i="2" l="1"/>
  <c r="H28" i="2" s="1"/>
  <c r="G26" i="2"/>
  <c r="H26" i="2" l="1"/>
  <c r="C21" i="1" s="1"/>
  <c r="C29" i="1" s="1"/>
  <c r="C34" i="1" l="1"/>
  <c r="C30" i="1"/>
  <c r="D30" i="1" s="1"/>
  <c r="C31" i="1" l="1"/>
  <c r="D31" i="1" s="1"/>
  <c r="C32" i="1"/>
  <c r="D32" i="1" s="1"/>
  <c r="C36" i="1"/>
  <c r="C3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Frost</author>
  </authors>
  <commentList>
    <comment ref="M11" authorId="0" shapeId="0" xr:uid="{8FA970FF-5A93-4394-AF8C-ECE8F0E7FF22}">
      <text>
        <r>
          <rPr>
            <b/>
            <sz val="9"/>
            <color indexed="81"/>
            <rFont val="Tahoma"/>
            <family val="2"/>
          </rPr>
          <t>John Frost:</t>
        </r>
        <r>
          <rPr>
            <sz val="9"/>
            <color indexed="81"/>
            <rFont val="Tahoma"/>
            <family val="2"/>
          </rPr>
          <t xml:space="preserve">
Do not delete these entries above the table, they're used for calulations. 
</t>
        </r>
      </text>
    </comment>
    <comment ref="F12" authorId="0" shapeId="0" xr:uid="{DA52C87C-4E3B-4B21-B497-1765EBD0D24A}">
      <text>
        <r>
          <rPr>
            <b/>
            <sz val="9"/>
            <color indexed="81"/>
            <rFont val="Tahoma"/>
            <family val="2"/>
          </rPr>
          <t>John Frost:</t>
        </r>
        <r>
          <rPr>
            <sz val="9"/>
            <color indexed="81"/>
            <rFont val="Tahoma"/>
            <family val="2"/>
          </rPr>
          <t xml:space="preserve">
Average current consumption while gate moving</t>
        </r>
      </text>
    </comment>
    <comment ref="G12" authorId="0" shapeId="0" xr:uid="{D9A26579-F11C-43E5-8D5C-4672838B0B96}">
      <text>
        <r>
          <rPr>
            <b/>
            <sz val="9"/>
            <color indexed="81"/>
            <rFont val="Tahoma"/>
            <family val="2"/>
          </rPr>
          <t>John Frost:</t>
        </r>
        <r>
          <rPr>
            <sz val="9"/>
            <color indexed="81"/>
            <rFont val="Tahoma"/>
            <family val="2"/>
          </rPr>
          <t xml:space="preserve">
Open and close cycle. </t>
        </r>
      </text>
    </comment>
    <comment ref="P12" authorId="0" shapeId="0" xr:uid="{E442ED6B-A48C-4EF5-8062-FE0CD5136DBD}">
      <text>
        <r>
          <rPr>
            <b/>
            <sz val="9"/>
            <color indexed="81"/>
            <rFont val="Tahoma"/>
            <family val="2"/>
          </rPr>
          <t>John Frost:</t>
        </r>
        <r>
          <rPr>
            <sz val="9"/>
            <color indexed="81"/>
            <rFont val="Tahoma"/>
            <family val="2"/>
          </rPr>
          <t xml:space="preserve">
Loris says 35mA for through and reflective. Mercury shuts down in standby</t>
        </r>
      </text>
    </comment>
    <comment ref="R12" authorId="0" shapeId="0" xr:uid="{DF644118-6E62-4C60-9EE6-B5C969A1837F}">
      <text>
        <r>
          <rPr>
            <b/>
            <sz val="9"/>
            <color indexed="81"/>
            <rFont val="Tahoma"/>
            <family val="2"/>
          </rPr>
          <t>John Frost:</t>
        </r>
        <r>
          <rPr>
            <sz val="9"/>
            <color indexed="81"/>
            <rFont val="Tahoma"/>
            <family val="2"/>
          </rPr>
          <t xml:space="preserve">
Measured 10mA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<sst xmlns="http://schemas.openxmlformats.org/spreadsheetml/2006/main" count="130" uniqueCount="111">
  <si>
    <t>INPUT</t>
  </si>
  <si>
    <t>Fill out your site and system details in all orange cells. The output is shown in the green cells below.</t>
  </si>
  <si>
    <t>Usage</t>
  </si>
  <si>
    <t>Solar Insolation Map</t>
  </si>
  <si>
    <t>Drivers with Cars</t>
  </si>
  <si>
    <t>Enter the number of resident licensed drivers with access to a vehicle.</t>
  </si>
  <si>
    <t>Average Trips per day per resident</t>
  </si>
  <si>
    <t>How many times does each driver leave the property? One trip is two gate cycles:  departure and arrival.</t>
  </si>
  <si>
    <t>Other vehicles</t>
  </si>
  <si>
    <t xml:space="preserve">Other than residents, how many people visit the property on a typical day? Each is two cycles: arrival and departure. </t>
  </si>
  <si>
    <t>Total Gate Cycles</t>
  </si>
  <si>
    <t>Total gate cycles per day</t>
  </si>
  <si>
    <t>System</t>
  </si>
  <si>
    <t>Operator Type</t>
  </si>
  <si>
    <t>Apollo 816 dual:Mercury</t>
  </si>
  <si>
    <t>Select your operator from the pull down menu</t>
  </si>
  <si>
    <t>Gate Length (ft)</t>
  </si>
  <si>
    <t xml:space="preserve">Enter the length of the gate in ft. </t>
  </si>
  <si>
    <t>Number of Keypads</t>
  </si>
  <si>
    <t>Enter the number of keypads installed on the system. We'll estimate the power. Do not include wireless keypads.</t>
  </si>
  <si>
    <t>Loop Detectors</t>
  </si>
  <si>
    <t>Enter the number of loop detectors used. Do not include Hy5B detectors</t>
  </si>
  <si>
    <t>7 Day Event Timer</t>
  </si>
  <si>
    <t xml:space="preserve">Enter the number of stand alone 7day timers. Do not include onboard 7day timers. </t>
  </si>
  <si>
    <t>BlueBus Photoeyes</t>
  </si>
  <si>
    <t>Enter the number of BlueBus photoeye pairs used.</t>
  </si>
  <si>
    <t>Stand Alone Receiver</t>
  </si>
  <si>
    <t>Enter number of stand alone radio receivers</t>
  </si>
  <si>
    <t>OXI Receiver</t>
  </si>
  <si>
    <t>Enter 1 if using an OXI receiver</t>
  </si>
  <si>
    <t>Other (mA)</t>
  </si>
  <si>
    <t>If there are other devices that draw power continuously, enter the power draw in mA. (e.g. Wi-Fi/cellular modules, lights, etc.)</t>
  </si>
  <si>
    <t>Standby Current draw (A)</t>
  </si>
  <si>
    <t>Battery voltage (V)</t>
  </si>
  <si>
    <t>Daily Standby Energy (Wh)</t>
  </si>
  <si>
    <t>Energy per cycle (Wh)</t>
  </si>
  <si>
    <t>Environment and user requirements</t>
  </si>
  <si>
    <t>Insolation (see map)</t>
  </si>
  <si>
    <t>Enter the value on the map that corresponds to the site's location. If the location is between two lines, use the average.</t>
  </si>
  <si>
    <t xml:space="preserve">Days of Standby required </t>
  </si>
  <si>
    <t xml:space="preserve">Enter the number of days that there may be no charging at all due to extended cloudiness or storms. </t>
  </si>
  <si>
    <t>Minimum battery level (%)</t>
  </si>
  <si>
    <t>The lowest battery charge level allowed after above number of days of standby. (&gt;50% reccomended)</t>
  </si>
  <si>
    <t>Expected recharge time (days)</t>
  </si>
  <si>
    <t>Number of days of full sun to recharge fully depleated batteries (typical = 2 days)</t>
  </si>
  <si>
    <t>RESULTS</t>
  </si>
  <si>
    <t>Daily System Load (W-h)</t>
  </si>
  <si>
    <t xml:space="preserve">This is the average daily power requirement for the system. </t>
  </si>
  <si>
    <t>Solar Panels (W)</t>
  </si>
  <si>
    <t>Battery Charger</t>
  </si>
  <si>
    <t>Standby power (W)</t>
  </si>
  <si>
    <t>Charge current available (A)</t>
  </si>
  <si>
    <t>Power available to charge battery from above panels</t>
  </si>
  <si>
    <t>Charge current needed (A)</t>
  </si>
  <si>
    <t>Current needed for 6h to recharge batteries in time above</t>
  </si>
  <si>
    <t>Rev History</t>
  </si>
  <si>
    <t>Rev</t>
  </si>
  <si>
    <t>Date</t>
  </si>
  <si>
    <t>Notes</t>
  </si>
  <si>
    <t xml:space="preserve">Password = </t>
  </si>
  <si>
    <t>NiceHySecurity</t>
  </si>
  <si>
    <t>Original</t>
  </si>
  <si>
    <t>Before 2021</t>
  </si>
  <si>
    <t>Copied from SupportCentre on Jan 10 2025.</t>
  </si>
  <si>
    <t>v2</t>
  </si>
  <si>
    <t>Add Juno310</t>
  </si>
  <si>
    <t>v3</t>
  </si>
  <si>
    <t xml:space="preserve">Merged Standby and operation tables. </t>
  </si>
  <si>
    <t>v4</t>
  </si>
  <si>
    <t>Added new operator types:Titan and Apollo with Mercury
Cleaned up formulas and text. Added instructions below below</t>
  </si>
  <si>
    <t>Motor Current 
(A)</t>
  </si>
  <si>
    <t>Cycle Time 
(s)</t>
  </si>
  <si>
    <t>Load 
(W-h/cyc)</t>
  </si>
  <si>
    <t>Voltage (V)</t>
  </si>
  <si>
    <t>Controller</t>
  </si>
  <si>
    <t>Max charge rate 
(A)</t>
  </si>
  <si>
    <t>System Standby Current 
(A)</t>
  </si>
  <si>
    <t>Keypad  Current 
(A)</t>
  </si>
  <si>
    <t>Loop Detector Current 
(A)</t>
  </si>
  <si>
    <t>Timer Current 
(A)</t>
  </si>
  <si>
    <t>BB Current 
(A)</t>
  </si>
  <si>
    <t>RX Current 
(A)</t>
  </si>
  <si>
    <t>OXI Current 
(A)</t>
  </si>
  <si>
    <t>Apollo 816 single:636</t>
  </si>
  <si>
    <t>NA</t>
  </si>
  <si>
    <t>Apollo 816 dual:636</t>
  </si>
  <si>
    <t>Apollo 816 single:1050</t>
  </si>
  <si>
    <t>Apollo 816 dual:1050</t>
  </si>
  <si>
    <t>Titan Single:1050</t>
  </si>
  <si>
    <t>Titan Dual:1050</t>
  </si>
  <si>
    <t>Apollo 816 single:Mercury</t>
  </si>
  <si>
    <t>Mercury310</t>
  </si>
  <si>
    <t>Titan Single:Mercury</t>
  </si>
  <si>
    <t>Titan Dual:Mercury</t>
  </si>
  <si>
    <t>Vanguard single:Mercury</t>
  </si>
  <si>
    <t>Vanguard dual:Mercury</t>
  </si>
  <si>
    <t>Juno</t>
  </si>
  <si>
    <t>SlideSmart</t>
  </si>
  <si>
    <t>SDC</t>
  </si>
  <si>
    <t>SwingSmart</t>
  </si>
  <si>
    <t>StrongArm Park</t>
  </si>
  <si>
    <t>To add more operator types:</t>
  </si>
  <si>
    <t>Insert rows into table</t>
  </si>
  <si>
    <t>Fill data</t>
  </si>
  <si>
    <t xml:space="preserve">Check data validation in C9 on other sheet includes added rows. </t>
  </si>
  <si>
    <t>To add more accessory types</t>
  </si>
  <si>
    <t>Add new columns to above table</t>
  </si>
  <si>
    <t>Add new rows to Worksheet.</t>
  </si>
  <si>
    <t>Add item name on worksheet to the cell above the table</t>
  </si>
  <si>
    <t xml:space="preserve">Ensure that row order matches column order as standby current draw calculation uses vector products. </t>
  </si>
  <si>
    <t xml:space="preserve">Test carefully.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</si>
</sst>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7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6"/>
      <color theme="3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/>
      <right/>
      <top style="thick">
        <color theme="4"/>
      </top>
      <bottom/>
      <diagonal/>
    </border>
  </borders>
  <cellStyleXfs count="6">
    <xf numFmtId="0" fontId="0" fillId="0" borderId="0"/>
    <xf numFmtId="0" fontId="1" fillId="0" borderId="1" applyNumberFormat="0" applyFill="0" applyAlignment="0" applyProtection="0"/>
    <xf numFmtId="0" fontId="2" fillId="2" borderId="2" applyNumberFormat="0" applyAlignment="0" applyProtection="0"/>
    <xf numFmtId="0" fontId="3" fillId="3" borderId="3" applyNumberFormat="0" applyAlignment="0" applyProtection="0"/>
    <xf numFmtId="0" fontId="6" fillId="4" borderId="7" applyNumberFormat="0" applyFont="0" applyAlignment="0" applyProtection="0"/>
    <xf numFmtId="0" fontId="7" fillId="0" borderId="8" applyNumberFormat="0" applyFill="0" applyAlignment="0" applyProtection="0"/>
  </cellStyleXfs>
  <cellXfs count="43">
    <xf numFmtId="0" fontId="0" fillId="0" borderId="0" xfId="0"/>
    <xf numFmtId="0" fontId="2" fillId="2" borderId="2" xfId="2"/>
    <xf numFmtId="0" fontId="5" fillId="0" borderId="0" xfId="0" applyFont="1" applyAlignment="1">
      <alignment wrapText="1"/>
    </xf>
    <xf numFmtId="0" fontId="2" fillId="2" borderId="4" xfId="2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2" fillId="2" borderId="5" xfId="2" applyBorder="1" applyAlignment="1" applyProtection="1">
      <alignment horizontal="center" vertical="center"/>
      <protection locked="0"/>
    </xf>
    <xf numFmtId="2" fontId="0" fillId="0" borderId="0" xfId="0" applyNumberFormat="1"/>
    <xf numFmtId="0" fontId="2" fillId="4" borderId="7" xfId="4" applyFont="1" applyAlignment="1">
      <alignment horizontal="right" vertical="center"/>
    </xf>
    <xf numFmtId="0" fontId="2" fillId="4" borderId="7" xfId="4" applyFont="1" applyAlignment="1">
      <alignment horizontal="right" vertical="center" wrapText="1"/>
    </xf>
    <xf numFmtId="0" fontId="2" fillId="2" borderId="9" xfId="2" applyBorder="1"/>
    <xf numFmtId="164" fontId="0" fillId="0" borderId="0" xfId="0" applyNumberFormat="1"/>
    <xf numFmtId="0" fontId="0" fillId="0" borderId="0" xfId="0" applyAlignment="1">
      <alignment horizontal="center" wrapText="1"/>
    </xf>
    <xf numFmtId="0" fontId="5" fillId="4" borderId="7" xfId="4" applyFont="1" applyAlignment="1">
      <alignment horizontal="left" vertical="center" wrapText="1"/>
    </xf>
    <xf numFmtId="0" fontId="5" fillId="4" borderId="7" xfId="4" applyFont="1" applyAlignment="1">
      <alignment vertical="center" wrapText="1"/>
    </xf>
    <xf numFmtId="0" fontId="1" fillId="0" borderId="1" xfId="1" applyAlignment="1">
      <alignment horizontal="center"/>
    </xf>
    <xf numFmtId="9" fontId="2" fillId="2" borderId="5" xfId="2" applyNumberFormat="1" applyBorder="1" applyAlignment="1" applyProtection="1">
      <alignment horizontal="center" vertical="center"/>
      <protection locked="0"/>
    </xf>
    <xf numFmtId="1" fontId="2" fillId="2" borderId="0" xfId="2" applyNumberFormat="1" applyBorder="1" applyAlignment="1" applyProtection="1">
      <alignment horizontal="center" vertical="center"/>
      <protection locked="0"/>
    </xf>
    <xf numFmtId="15" fontId="0" fillId="0" borderId="0" xfId="0" applyNumberFormat="1"/>
    <xf numFmtId="0" fontId="10" fillId="0" borderId="0" xfId="0" applyFont="1"/>
    <xf numFmtId="0" fontId="12" fillId="0" borderId="0" xfId="0" applyFont="1" applyAlignment="1">
      <alignment vertical="center"/>
    </xf>
    <xf numFmtId="0" fontId="11" fillId="0" borderId="0" xfId="0" applyFont="1"/>
    <xf numFmtId="165" fontId="3" fillId="6" borderId="6" xfId="3" applyNumberFormat="1" applyFill="1" applyBorder="1" applyAlignment="1">
      <alignment horizontal="center" vertical="center"/>
    </xf>
    <xf numFmtId="0" fontId="5" fillId="7" borderId="7" xfId="4" applyFont="1" applyFill="1" applyAlignment="1">
      <alignment horizontal="left" vertical="center" wrapText="1"/>
    </xf>
    <xf numFmtId="0" fontId="3" fillId="7" borderId="3" xfId="3" applyFill="1" applyAlignment="1">
      <alignment horizontal="right" vertical="center"/>
    </xf>
    <xf numFmtId="0" fontId="3" fillId="7" borderId="3" xfId="3" applyFill="1" applyAlignment="1">
      <alignment horizontal="right" vertical="center" wrapText="1"/>
    </xf>
    <xf numFmtId="0" fontId="13" fillId="0" borderId="0" xfId="0" applyFont="1"/>
    <xf numFmtId="165" fontId="13" fillId="0" borderId="0" xfId="0" applyNumberFormat="1" applyFont="1"/>
    <xf numFmtId="0" fontId="14" fillId="0" borderId="0" xfId="0" applyFont="1" applyAlignment="1">
      <alignment vertical="center"/>
    </xf>
    <xf numFmtId="16" fontId="0" fillId="0" borderId="0" xfId="0" applyNumberFormat="1"/>
    <xf numFmtId="165" fontId="12" fillId="0" borderId="0" xfId="0" applyNumberFormat="1" applyFont="1" applyAlignment="1">
      <alignment vertical="center"/>
    </xf>
    <xf numFmtId="164" fontId="12" fillId="0" borderId="0" xfId="0" applyNumberFormat="1" applyFont="1" applyAlignment="1">
      <alignment vertical="center"/>
    </xf>
    <xf numFmtId="1" fontId="12" fillId="0" borderId="0" xfId="0" applyNumberFormat="1" applyFont="1" applyAlignment="1">
      <alignment vertical="center"/>
    </xf>
    <xf numFmtId="1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9" borderId="0" xfId="0" applyFont="1" applyFill="1"/>
    <xf numFmtId="0" fontId="8" fillId="5" borderId="8" xfId="5" applyFont="1" applyFill="1" applyAlignment="1">
      <alignment horizontal="center"/>
    </xf>
    <xf numFmtId="0" fontId="8" fillId="5" borderId="8" xfId="5" applyFont="1" applyFill="1" applyAlignment="1">
      <alignment horizontal="center" vertical="center"/>
    </xf>
    <xf numFmtId="0" fontId="5" fillId="8" borderId="10" xfId="4" applyFont="1" applyFill="1" applyBorder="1" applyAlignment="1">
      <alignment horizontal="center" vertical="center" wrapText="1"/>
    </xf>
    <xf numFmtId="0" fontId="4" fillId="0" borderId="1" xfId="1" applyFont="1" applyAlignment="1">
      <alignment horizontal="center"/>
    </xf>
    <xf numFmtId="0" fontId="1" fillId="0" borderId="1" xfId="1" applyAlignment="1">
      <alignment horizontal="center"/>
    </xf>
    <xf numFmtId="0" fontId="1" fillId="0" borderId="1" xfId="1" applyAlignment="1">
      <alignment horizontal="center" vertical="center"/>
    </xf>
  </cellXfs>
  <cellStyles count="6">
    <cellStyle name="Heading 1" xfId="5" builtinId="16"/>
    <cellStyle name="Heading 2" xfId="1" builtinId="17"/>
    <cellStyle name="Input" xfId="2" builtinId="20"/>
    <cellStyle name="Normal" xfId="0" builtinId="0"/>
    <cellStyle name="Note" xfId="4" builtinId="10"/>
    <cellStyle name="Output" xfId="3" builtinId="21"/>
  </cellStyles>
  <dxfs count="6">
    <dxf>
      <numFmt numFmtId="0" formatCode="General"/>
    </dxf>
    <dxf>
      <numFmt numFmtId="0" formatCode="General"/>
    </dxf>
    <dxf>
      <numFmt numFmtId="164" formatCode="0.000"/>
    </dxf>
    <dxf>
      <numFmt numFmtId="164" formatCode="0.000"/>
    </dxf>
    <dxf>
      <numFmt numFmtId="2" formatCode="0.00"/>
    </dxf>
    <dxf>
      <numFmt numFmtId="164" formatCode="0.0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35983</xdr:colOff>
      <xdr:row>3</xdr:row>
      <xdr:rowOff>143933</xdr:rowOff>
    </xdr:from>
    <xdr:to>
      <xdr:col>17</xdr:col>
      <xdr:colOff>36241</xdr:colOff>
      <xdr:row>26</xdr:row>
      <xdr:rowOff>37446</xdr:rowOff>
    </xdr:to>
    <xdr:pic>
      <xdr:nvPicPr>
        <xdr:cNvPr id="2" name="Picture 1" descr="http://solarinsolation.org/wp-content/uploads/2012/01/usa_insolation_map.gif">
          <a:extLst>
            <a:ext uri="{FF2B5EF4-FFF2-40B4-BE49-F238E27FC236}">
              <a16:creationId xmlns:a16="http://schemas.microsoft.com/office/drawing/2014/main" id="{5D6565A7-9724-4D2F-A9B8-F3ECB0279B2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0533" y="658283"/>
          <a:ext cx="7877432" cy="4344417"/>
        </a:xfrm>
        <a:prstGeom prst="rect">
          <a:avLst/>
        </a:prstGeom>
        <a:noFill/>
        <a:ln w="38100">
          <a:solidFill>
            <a:schemeClr val="accent1"/>
          </a:solidFill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OperatorSpecs" displayName="OperatorSpecs" ref="E12:R33" totalsRowShown="0">
  <autoFilter ref="E12:R33" xr:uid="{00000000-0009-0000-0100-000001000000}"/>
  <sortState xmlns:xlrd2="http://schemas.microsoft.com/office/spreadsheetml/2017/richdata2" ref="E13:O18">
    <sortCondition ref="E12:E18"/>
  </sortState>
  <tableColumns count="14">
    <tableColumn id="1" xr3:uid="{00000000-0010-0000-0000-000001000000}" name="Operator Type" dataCellStyle="Input"/>
    <tableColumn id="2" xr3:uid="{00000000-0010-0000-0000-000002000000}" name="Motor Current _x000a_(A)" dataDxfId="5" dataCellStyle="Input"/>
    <tableColumn id="3" xr3:uid="{00000000-0010-0000-0000-000003000000}" name="Cycle Time _x000a_(s)"/>
    <tableColumn id="4" xr3:uid="{00000000-0010-0000-0000-000004000000}" name="Load _x000a_(W-h/cyc)" dataDxfId="4">
      <calculatedColumnFormula>F13*G13/3600*OperatorSpecs[[#This Row],[Voltage (V)]]</calculatedColumnFormula>
    </tableColumn>
    <tableColumn id="5" xr3:uid="{00000000-0010-0000-0000-000005000000}" name="Voltage (V)"/>
    <tableColumn id="7" xr3:uid="{A5385815-B9C6-4481-A42B-CBB06150873D}" name="Controller"/>
    <tableColumn id="8" xr3:uid="{2FB624E5-B880-4DB6-83D3-4B868707380A}" name="Max charge rate _x000a_(A)" dataDxfId="3"/>
    <tableColumn id="6" xr3:uid="{00000000-0010-0000-0000-000006000000}" name="System Standby Current _x000a_(A)" dataDxfId="2"/>
    <tableColumn id="10" xr3:uid="{8602BD15-CC02-4668-802E-889FC93B6DAE}" name="Keypad  Current _x000a_(A)" dataDxfId="1"/>
    <tableColumn id="11" xr3:uid="{E0A46A7D-5279-465F-9D27-B7F266D32EBA}" name="Loop Detector Current _x000a_(A)" dataDxfId="0"/>
    <tableColumn id="12" xr3:uid="{0E362F65-2DC7-49EB-B633-D23BF78B65F8}" name="Timer Current _x000a_(A)"/>
    <tableColumn id="9" xr3:uid="{575EBE64-EE97-41C2-8BDA-179F00C0A5C7}" name="BB Current _x000a_(A)"/>
    <tableColumn id="13" xr3:uid="{48E73FE0-2008-47A3-ADB5-D2FC627FDD5A}" name="RX Current _x000a_(A)"/>
    <tableColumn id="14" xr3:uid="{3F348A2C-DECE-4DB2-AB55-A689E7B4A41C}" name="OXI Current _x000a_(A)"/>
  </tableColumns>
  <tableStyleInfo name="TableStyleLight8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Q39"/>
  <sheetViews>
    <sheetView tabSelected="1" zoomScale="85" zoomScaleNormal="85" workbookViewId="0">
      <selection activeCell="F32" sqref="F32"/>
    </sheetView>
  </sheetViews>
  <sheetFormatPr defaultRowHeight="15"/>
  <cols>
    <col min="1" max="1" width="2.5703125" customWidth="1"/>
    <col min="2" max="2" width="26" customWidth="1"/>
    <col min="3" max="3" width="20.28515625" customWidth="1"/>
    <col min="4" max="4" width="100.85546875" customWidth="1"/>
    <col min="5" max="5" width="4.140625" customWidth="1"/>
    <col min="6" max="6" width="10.42578125" customWidth="1"/>
  </cols>
  <sheetData>
    <row r="1" spans="2:17" ht="20.25" thickBot="1">
      <c r="B1" s="37" t="s">
        <v>0</v>
      </c>
      <c r="C1" s="37"/>
      <c r="D1" s="37"/>
    </row>
    <row r="2" spans="2:17" ht="15.75" thickTop="1">
      <c r="B2" s="39" t="s">
        <v>1</v>
      </c>
      <c r="C2" s="39"/>
      <c r="D2" s="39"/>
    </row>
    <row r="3" spans="2:17" ht="21.75" thickBot="1">
      <c r="B3" s="41" t="s">
        <v>2</v>
      </c>
      <c r="C3" s="41"/>
      <c r="D3" s="41"/>
      <c r="F3" s="40" t="s">
        <v>3</v>
      </c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</row>
    <row r="4" spans="2:17" ht="15.75" thickTop="1">
      <c r="B4" s="7" t="s">
        <v>4</v>
      </c>
      <c r="C4" s="3">
        <v>2</v>
      </c>
      <c r="D4" s="12" t="s">
        <v>5</v>
      </c>
      <c r="E4" s="2"/>
    </row>
    <row r="5" spans="2:17" ht="30">
      <c r="B5" s="8" t="s">
        <v>6</v>
      </c>
      <c r="C5" s="3">
        <v>2</v>
      </c>
      <c r="D5" s="13" t="s">
        <v>7</v>
      </c>
      <c r="E5" s="2"/>
    </row>
    <row r="6" spans="2:17">
      <c r="B6" s="8" t="s">
        <v>8</v>
      </c>
      <c r="C6" s="3">
        <v>3</v>
      </c>
      <c r="D6" s="13" t="s">
        <v>9</v>
      </c>
      <c r="E6" s="2"/>
    </row>
    <row r="7" spans="2:17">
      <c r="B7" s="19" t="s">
        <v>10</v>
      </c>
      <c r="C7" s="31">
        <f>2*C4*C5+2*C6</f>
        <v>14</v>
      </c>
      <c r="D7" s="19" t="s">
        <v>11</v>
      </c>
    </row>
    <row r="8" spans="2:17" ht="18" thickBot="1">
      <c r="B8" s="42" t="s">
        <v>12</v>
      </c>
      <c r="C8" s="42"/>
      <c r="D8" s="42"/>
    </row>
    <row r="9" spans="2:17" ht="15.75" thickTop="1">
      <c r="B9" s="7" t="s">
        <v>13</v>
      </c>
      <c r="C9" s="5" t="s">
        <v>14</v>
      </c>
      <c r="D9" s="13" t="s">
        <v>15</v>
      </c>
    </row>
    <row r="10" spans="2:17">
      <c r="B10" s="7" t="s">
        <v>16</v>
      </c>
      <c r="C10" s="5">
        <v>15</v>
      </c>
      <c r="D10" s="13" t="s">
        <v>17</v>
      </c>
    </row>
    <row r="11" spans="2:17">
      <c r="B11" s="7" t="s">
        <v>18</v>
      </c>
      <c r="C11" s="5">
        <v>0</v>
      </c>
      <c r="D11" s="13" t="s">
        <v>19</v>
      </c>
      <c r="E11" s="2"/>
    </row>
    <row r="12" spans="2:17">
      <c r="B12" s="7" t="s">
        <v>20</v>
      </c>
      <c r="C12" s="5">
        <v>0</v>
      </c>
      <c r="D12" s="13" t="s">
        <v>21</v>
      </c>
      <c r="E12" s="2"/>
    </row>
    <row r="13" spans="2:17">
      <c r="B13" s="7" t="s">
        <v>22</v>
      </c>
      <c r="C13" s="5">
        <v>0</v>
      </c>
      <c r="D13" s="13" t="s">
        <v>23</v>
      </c>
      <c r="E13" s="2"/>
    </row>
    <row r="14" spans="2:17">
      <c r="B14" s="7" t="s">
        <v>24</v>
      </c>
      <c r="C14" s="5">
        <v>1</v>
      </c>
      <c r="D14" s="13" t="s">
        <v>25</v>
      </c>
      <c r="E14" s="2"/>
    </row>
    <row r="15" spans="2:17">
      <c r="B15" s="7" t="s">
        <v>26</v>
      </c>
      <c r="C15" s="5">
        <v>1</v>
      </c>
      <c r="D15" s="13" t="s">
        <v>27</v>
      </c>
      <c r="E15" s="2"/>
    </row>
    <row r="16" spans="2:17">
      <c r="B16" s="7" t="s">
        <v>28</v>
      </c>
      <c r="C16" s="5">
        <v>0</v>
      </c>
      <c r="D16" s="13" t="s">
        <v>29</v>
      </c>
      <c r="E16" s="2"/>
    </row>
    <row r="17" spans="2:8" ht="24">
      <c r="B17" s="7" t="s">
        <v>30</v>
      </c>
      <c r="C17" s="5">
        <v>1</v>
      </c>
      <c r="D17" s="13" t="s">
        <v>31</v>
      </c>
      <c r="E17" s="2"/>
    </row>
    <row r="18" spans="2:8">
      <c r="B18" s="19" t="s">
        <v>32</v>
      </c>
      <c r="C18" s="30" cm="1">
        <f t="array" ref="C18">INDEX(Tables!L:L, MATCH(C9, Tables!E:E, 0))+SUMPRODUCT(INDEX(OperatorSpecs[[Keypad  Current 
(A)]:[OXI Current 
(A)]], MATCH(C9, OperatorSpecs[Operator Type], 0), MATCH(B11:B16,Tables!M11:R11, 0)), C11:C16)+(C17/1000)</f>
        <v>6.2000000000000006E-2</v>
      </c>
      <c r="D18" s="27" t="str">
        <f>IF(AND(INDEX(OperatorSpecs[BB Current 
(A)], MATCH(C9, OperatorSpecs[Operator Type], 0))="NA", C14+C16&gt;0), "ERROR: controller does not support BlueBus or OXI", "")</f>
        <v/>
      </c>
    </row>
    <row r="19" spans="2:8">
      <c r="B19" s="19" t="s">
        <v>33</v>
      </c>
      <c r="C19" s="29">
        <f>INDEX(Tables!I:I, MATCH(C9, Tables!E:E, 0))</f>
        <v>12</v>
      </c>
      <c r="D19" s="27" t="str">
        <f>IF(C16&gt;1, "ERROR: Only 1 OXI reciever is supported.", "")</f>
        <v/>
      </c>
    </row>
    <row r="20" spans="2:8">
      <c r="B20" s="19" t="s">
        <v>34</v>
      </c>
      <c r="C20" s="29">
        <f>C18*C19*24</f>
        <v>17.856000000000002</v>
      </c>
      <c r="D20" s="4"/>
    </row>
    <row r="21" spans="2:8">
      <c r="B21" s="19" t="s">
        <v>35</v>
      </c>
      <c r="C21" s="29">
        <f>INDEX(Tables!H:H, MATCH(C9, Tables!E:E, 0))</f>
        <v>1</v>
      </c>
      <c r="D21" s="4"/>
    </row>
    <row r="22" spans="2:8" ht="18" thickBot="1">
      <c r="B22" s="42" t="s">
        <v>36</v>
      </c>
      <c r="C22" s="42"/>
      <c r="D22" s="42"/>
    </row>
    <row r="23" spans="2:8" ht="15.75" thickTop="1">
      <c r="B23" s="7" t="s">
        <v>37</v>
      </c>
      <c r="C23" s="5">
        <v>5</v>
      </c>
      <c r="D23" s="12" t="s">
        <v>38</v>
      </c>
      <c r="E23" s="2"/>
    </row>
    <row r="24" spans="2:8">
      <c r="B24" s="7" t="s">
        <v>39</v>
      </c>
      <c r="C24" s="5">
        <v>5</v>
      </c>
      <c r="D24" s="12" t="s">
        <v>40</v>
      </c>
      <c r="E24" s="2"/>
    </row>
    <row r="25" spans="2:8">
      <c r="B25" s="7" t="s">
        <v>41</v>
      </c>
      <c r="C25" s="15">
        <v>0.5</v>
      </c>
      <c r="D25" s="12" t="s">
        <v>42</v>
      </c>
    </row>
    <row r="26" spans="2:8">
      <c r="B26" s="7" t="s">
        <v>43</v>
      </c>
      <c r="C26" s="16">
        <v>3</v>
      </c>
      <c r="D26" s="12" t="s">
        <v>44</v>
      </c>
    </row>
    <row r="27" spans="2:8">
      <c r="B27" s="4"/>
      <c r="C27" s="4"/>
      <c r="D27" s="4"/>
    </row>
    <row r="28" spans="2:8" ht="20.25" thickBot="1">
      <c r="B28" s="38" t="s">
        <v>45</v>
      </c>
      <c r="C28" s="38"/>
      <c r="D28" s="38"/>
    </row>
    <row r="29" spans="2:8" ht="15.75" thickTop="1">
      <c r="B29" s="23" t="s">
        <v>46</v>
      </c>
      <c r="C29" s="21">
        <f>IF(C18&gt;0, C7*C21+C20, "ERROR")</f>
        <v>31.856000000000002</v>
      </c>
      <c r="D29" s="22" t="s">
        <v>47</v>
      </c>
      <c r="H29" s="6"/>
    </row>
    <row r="30" spans="2:8" ht="27.95" customHeight="1">
      <c r="B30" s="24" t="str">
        <f>_xlfn.CONCAT("Battery Capacity at ", C19, "V (Ah)")</f>
        <v>Battery Capacity at 12V (Ah)</v>
      </c>
      <c r="C30" s="21">
        <f>(C29*C24/C19)/(1-C25)</f>
        <v>26.546666666666667</v>
      </c>
      <c r="D30" s="22" t="str">
        <f>IF(C19=24,_xlfn.CONCAT("Connect TWO 12v batteries in series. Each battery capacity should be rated more than ",CEILING(C30,1),"Ah"),_xlfn.CONCAT("Connect ONE 12v battery. The battery should be rated more than ",CEILING(C30,1),"Ah"))</f>
        <v>Connect ONE 12v battery. The battery should be rated more than 27Ah</v>
      </c>
    </row>
    <row r="31" spans="2:8">
      <c r="B31" s="23" t="s">
        <v>48</v>
      </c>
      <c r="C31" s="21">
        <f>(C29+((C30*C19)/C26))/C23</f>
        <v>27.608533333333334</v>
      </c>
      <c r="D31" s="22" t="str">
        <f>IF(C19=24,_xlfn.CONCAT("Connect TWO 12v Solar panels in series. Each Panel should be rated more than ",CEILING(C31,1),"W"),_xlfn.CONCAT("Connect ONE 12v Solar panel. The Panel should be rated more than ",CEILING(C31,1),"W"))</f>
        <v>Connect ONE 12v Solar panel. The Panel should be rated more than 28W</v>
      </c>
    </row>
    <row r="32" spans="2:8">
      <c r="B32" s="23" t="s">
        <v>49</v>
      </c>
      <c r="C32" s="21" t="str">
        <f>IF(((C30/C26)/6)&lt;INDEX(Tables!K:K, MATCH(C9, Tables!E:E, 0)), "On-Board", "External")</f>
        <v>On-Board</v>
      </c>
      <c r="D32" s="22" t="str">
        <f>IF(C32="External",_xlfn.CONCAT("Use an external MPPT controller and battery charger that is rated for at least ",_xlfn.CEILING.MATH((((C30/C26)/6)*C19),10),"W. Or extend the ",B26," above."),_xlfn.CONCAT("The charger built into ",C9," is adequate for your design"))</f>
        <v>The charger built into Apollo 816 dual:Mercury is adequate for your design</v>
      </c>
    </row>
    <row r="34" spans="2:4">
      <c r="B34" s="25" t="s">
        <v>50</v>
      </c>
      <c r="C34" s="26">
        <f>C29/24</f>
        <v>1.3273333333333335</v>
      </c>
      <c r="D34" s="20"/>
    </row>
    <row r="35" spans="2:4">
      <c r="B35" s="25" t="s">
        <v>51</v>
      </c>
      <c r="C35" s="26">
        <f>((C31-C34)/C19)*0.8</f>
        <v>1.7520800000000003</v>
      </c>
      <c r="D35" s="20" t="s">
        <v>52</v>
      </c>
    </row>
    <row r="36" spans="2:4">
      <c r="B36" s="25" t="s">
        <v>53</v>
      </c>
      <c r="C36" s="26">
        <f>((C30/C26)/6)</f>
        <v>1.4748148148148148</v>
      </c>
      <c r="D36" s="20" t="s">
        <v>54</v>
      </c>
    </row>
    <row r="37" spans="2:4">
      <c r="B37" s="25"/>
      <c r="C37" s="25"/>
    </row>
    <row r="38" spans="2:4">
      <c r="B38" s="25"/>
      <c r="C38" s="25"/>
    </row>
    <row r="39" spans="2:4">
      <c r="B39" s="25"/>
      <c r="C39" s="25"/>
    </row>
  </sheetData>
  <sheetProtection algorithmName="SHA-512" hashValue="fqnHdsrjLEUt1Esk+GNTJ9ULRCnVicuLazXYQuzaTzN5DWZNcIcp7NANudcuM/sYPCduo+/umSw+vPLf7E3rfQ==" saltValue="Pnkg3dK1Atk9MnSNMpUmxw==" spinCount="100000" sheet="1" objects="1" scenarios="1"/>
  <protectedRanges>
    <protectedRange algorithmName="SHA-512" hashValue="cWU6DdO1w0+X59fRTyqH5dyOd9IDoyjQxpSaZ9kgTDDax/Heu0KtxpyeRpW/IHnHWGcdg1E/0uCZgM1Uc5KUdw==" saltValue="r35a7h5VkzxHt5g+cnaTIg==" spinCount="100000" sqref="C23:C26" name="Range3"/>
    <protectedRange algorithmName="SHA-512" hashValue="9AKJN3/m/xCK0iKISk+dCHt8lNtGpuOOdARbQZarzYsiOA08kNnRYpII9FumAEa3HojMv2906VbApWAQSYVTQg==" saltValue="45Vt2RkSVZWs8jACxoT6XQ==" spinCount="100000" sqref="C9:C17" name="Range2"/>
    <protectedRange algorithmName="SHA-512" hashValue="ibWZ4Ili6MwlfHXWbxgrvhxNxGcQjYowcoKRjHZpO5gifzXE8O2xOdj/7yhHrisYjiN3kemwy3kecPMS87g3bg==" saltValue="FTWXfrr3b0jLML3mro+tEw==" spinCount="100000" sqref="C4:C6" name="Range1"/>
  </protectedRanges>
  <mergeCells count="7">
    <mergeCell ref="B1:D1"/>
    <mergeCell ref="B28:D28"/>
    <mergeCell ref="B2:D2"/>
    <mergeCell ref="F3:Q3"/>
    <mergeCell ref="B3:D3"/>
    <mergeCell ref="B8:D8"/>
    <mergeCell ref="B22:D22"/>
  </mergeCells>
  <phoneticPr fontId="9" type="noConversion"/>
  <dataValidations count="1">
    <dataValidation allowBlank="1" showInputMessage="1" showErrorMessage="1" promptTitle="Select Type" sqref="C10" xr:uid="{00000000-0002-0000-0000-000000000000}"/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Select Type" xr:uid="{00000000-0002-0000-0000-000001000000}">
          <x14:formula1>
            <xm:f>Tables!$E$13:$E$33</xm:f>
          </x14:formula1>
          <xm:sqref>C9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48"/>
  <sheetViews>
    <sheetView workbookViewId="0">
      <selection activeCell="C14" sqref="C14"/>
    </sheetView>
  </sheetViews>
  <sheetFormatPr defaultRowHeight="15"/>
  <cols>
    <col min="2" max="2" width="10.5703125" bestFit="1" customWidth="1"/>
    <col min="3" max="3" width="21" customWidth="1"/>
    <col min="5" max="5" width="24.7109375" customWidth="1"/>
    <col min="6" max="6" width="12" customWidth="1"/>
    <col min="7" max="7" width="12.7109375" customWidth="1"/>
    <col min="8" max="8" width="10.42578125" customWidth="1"/>
    <col min="9" max="9" width="9.42578125" customWidth="1"/>
    <col min="10" max="10" width="11.28515625" bestFit="1" customWidth="1"/>
    <col min="11" max="11" width="10.5703125" customWidth="1"/>
    <col min="12" max="12" width="14.7109375" customWidth="1"/>
    <col min="13" max="13" width="9.85546875" customWidth="1"/>
    <col min="14" max="14" width="15.7109375" customWidth="1"/>
    <col min="15" max="15" width="15.5703125" bestFit="1" customWidth="1"/>
    <col min="16" max="16" width="16.85546875" bestFit="1" customWidth="1"/>
    <col min="17" max="17" width="18.5703125" bestFit="1" customWidth="1"/>
    <col min="18" max="18" width="11.28515625" bestFit="1" customWidth="1"/>
  </cols>
  <sheetData>
    <row r="1" spans="1:18" ht="18" thickBot="1">
      <c r="A1" s="41" t="s">
        <v>55</v>
      </c>
      <c r="B1" s="41"/>
      <c r="C1" s="14"/>
      <c r="D1" s="14"/>
    </row>
    <row r="2" spans="1:18" ht="15.75" thickTop="1">
      <c r="A2" s="18" t="s">
        <v>56</v>
      </c>
      <c r="B2" s="18" t="s">
        <v>57</v>
      </c>
      <c r="C2" s="18" t="s">
        <v>58</v>
      </c>
      <c r="E2" s="18" t="s">
        <v>59</v>
      </c>
      <c r="F2" s="36" t="s">
        <v>60</v>
      </c>
    </row>
    <row r="3" spans="1:18">
      <c r="A3" t="s">
        <v>61</v>
      </c>
      <c r="B3" t="s">
        <v>62</v>
      </c>
      <c r="C3" t="s">
        <v>63</v>
      </c>
    </row>
    <row r="4" spans="1:18">
      <c r="A4" t="s">
        <v>64</v>
      </c>
      <c r="B4" s="17">
        <v>45667</v>
      </c>
      <c r="C4" t="s">
        <v>65</v>
      </c>
    </row>
    <row r="5" spans="1:18">
      <c r="A5" t="s">
        <v>66</v>
      </c>
      <c r="B5" s="28">
        <v>45680</v>
      </c>
      <c r="C5" t="s">
        <v>67</v>
      </c>
    </row>
    <row r="6" spans="1:18">
      <c r="A6" t="s">
        <v>68</v>
      </c>
      <c r="B6" s="28">
        <v>45750</v>
      </c>
      <c r="C6" t="s">
        <v>69</v>
      </c>
    </row>
    <row r="11" spans="1:18">
      <c r="M11" t="str">
        <f>Worksheet!B11</f>
        <v>Number of Keypads</v>
      </c>
      <c r="N11" t="str">
        <f>Worksheet!B12</f>
        <v>Loop Detectors</v>
      </c>
      <c r="O11" t="str">
        <f>Worksheet!B13</f>
        <v>7 Day Event Timer</v>
      </c>
      <c r="P11" t="str">
        <f>Worksheet!B14</f>
        <v>BlueBus Photoeyes</v>
      </c>
      <c r="Q11" t="str">
        <f>Worksheet!B15</f>
        <v>Stand Alone Receiver</v>
      </c>
      <c r="R11" t="str">
        <f>Worksheet!B16</f>
        <v>OXI Receiver</v>
      </c>
    </row>
    <row r="12" spans="1:18" ht="60">
      <c r="E12" s="11" t="s">
        <v>13</v>
      </c>
      <c r="F12" s="34" t="s">
        <v>70</v>
      </c>
      <c r="G12" s="34" t="s">
        <v>71</v>
      </c>
      <c r="H12" s="34" t="s">
        <v>72</v>
      </c>
      <c r="I12" s="34" t="s">
        <v>73</v>
      </c>
      <c r="J12" s="35" t="s">
        <v>74</v>
      </c>
      <c r="K12" s="34" t="s">
        <v>75</v>
      </c>
      <c r="L12" s="34" t="s">
        <v>76</v>
      </c>
      <c r="M12" s="34" t="s">
        <v>77</v>
      </c>
      <c r="N12" s="34" t="s">
        <v>78</v>
      </c>
      <c r="O12" s="34" t="s">
        <v>79</v>
      </c>
      <c r="P12" s="34" t="s">
        <v>80</v>
      </c>
      <c r="Q12" s="34" t="s">
        <v>81</v>
      </c>
      <c r="R12" s="34" t="s">
        <v>82</v>
      </c>
    </row>
    <row r="13" spans="1:18">
      <c r="E13" s="1" t="s">
        <v>83</v>
      </c>
      <c r="F13">
        <v>5</v>
      </c>
      <c r="G13">
        <v>30</v>
      </c>
      <c r="H13" s="6">
        <f>F13*G13/3600*OperatorSpecs[[#This Row],[Voltage (V)]]</f>
        <v>0.5</v>
      </c>
      <c r="I13">
        <v>12</v>
      </c>
      <c r="J13" s="33">
        <v>636</v>
      </c>
      <c r="K13" s="32">
        <v>0</v>
      </c>
      <c r="L13" s="10">
        <v>1.4999999999999999E-2</v>
      </c>
      <c r="M13">
        <v>2.5000000000000001E-2</v>
      </c>
      <c r="N13">
        <v>0.05</v>
      </c>
      <c r="O13">
        <v>0.03</v>
      </c>
      <c r="P13" t="s">
        <v>84</v>
      </c>
      <c r="Q13">
        <v>0.05</v>
      </c>
      <c r="R13" t="s">
        <v>84</v>
      </c>
    </row>
    <row r="14" spans="1:18">
      <c r="E14" s="1" t="s">
        <v>85</v>
      </c>
      <c r="F14">
        <v>10</v>
      </c>
      <c r="G14">
        <v>30</v>
      </c>
      <c r="H14" s="6">
        <f>F14*G14/3600*OperatorSpecs[[#This Row],[Voltage (V)]]</f>
        <v>1</v>
      </c>
      <c r="I14">
        <v>12</v>
      </c>
      <c r="J14" s="33">
        <v>636</v>
      </c>
      <c r="K14" s="32">
        <v>0</v>
      </c>
      <c r="L14" s="10">
        <v>1.4999999999999999E-2</v>
      </c>
      <c r="M14">
        <v>2.5000000000000001E-2</v>
      </c>
      <c r="N14">
        <v>0.05</v>
      </c>
      <c r="O14">
        <v>0.03</v>
      </c>
      <c r="P14" t="s">
        <v>84</v>
      </c>
      <c r="Q14">
        <v>0.05</v>
      </c>
      <c r="R14" t="s">
        <v>84</v>
      </c>
    </row>
    <row r="15" spans="1:18">
      <c r="E15" s="1" t="s">
        <v>86</v>
      </c>
      <c r="F15">
        <v>5</v>
      </c>
      <c r="G15">
        <v>30</v>
      </c>
      <c r="H15" s="6">
        <f>F15*G15/3600*OperatorSpecs[[#This Row],[Voltage (V)]]</f>
        <v>0.5</v>
      </c>
      <c r="I15">
        <v>12</v>
      </c>
      <c r="J15" s="33">
        <v>1050</v>
      </c>
      <c r="K15">
        <v>1</v>
      </c>
      <c r="L15" s="10">
        <v>1.7000000000000001E-2</v>
      </c>
      <c r="M15">
        <v>2.5000000000000001E-2</v>
      </c>
      <c r="N15">
        <v>0.05</v>
      </c>
      <c r="O15">
        <v>0.03</v>
      </c>
      <c r="P15">
        <v>3.5000000000000003E-2</v>
      </c>
      <c r="Q15">
        <v>0.05</v>
      </c>
      <c r="R15">
        <v>0.01</v>
      </c>
    </row>
    <row r="16" spans="1:18">
      <c r="E16" s="1" t="s">
        <v>87</v>
      </c>
      <c r="F16">
        <v>10</v>
      </c>
      <c r="G16">
        <v>30</v>
      </c>
      <c r="H16" s="6">
        <f>F16*G16/3600*OperatorSpecs[[#This Row],[Voltage (V)]]</f>
        <v>1</v>
      </c>
      <c r="I16">
        <v>12</v>
      </c>
      <c r="J16" s="33">
        <v>1050</v>
      </c>
      <c r="K16">
        <v>1</v>
      </c>
      <c r="L16" s="10">
        <v>1.7000000000000001E-2</v>
      </c>
      <c r="M16">
        <v>2.5000000000000001E-2</v>
      </c>
      <c r="N16">
        <v>0.05</v>
      </c>
      <c r="O16">
        <v>0.03</v>
      </c>
      <c r="P16">
        <v>3.5000000000000003E-2</v>
      </c>
      <c r="Q16">
        <v>0.05</v>
      </c>
      <c r="R16">
        <v>0.01</v>
      </c>
    </row>
    <row r="17" spans="5:18">
      <c r="E17" s="1" t="s">
        <v>88</v>
      </c>
      <c r="F17">
        <v>5</v>
      </c>
      <c r="G17">
        <v>30</v>
      </c>
      <c r="H17" s="6">
        <f>F17*G17/3600*OperatorSpecs[[#This Row],[Voltage (V)]]</f>
        <v>0.5</v>
      </c>
      <c r="I17">
        <v>12</v>
      </c>
      <c r="J17" s="33">
        <v>1050</v>
      </c>
      <c r="K17">
        <v>1</v>
      </c>
      <c r="L17" s="10">
        <v>1.7000000000000001E-2</v>
      </c>
      <c r="M17">
        <v>2.5000000000000001E-2</v>
      </c>
      <c r="N17">
        <v>0.05</v>
      </c>
      <c r="O17">
        <v>0.03</v>
      </c>
      <c r="P17">
        <v>3.5000000000000003E-2</v>
      </c>
      <c r="Q17">
        <v>0.05</v>
      </c>
      <c r="R17">
        <v>0.01</v>
      </c>
    </row>
    <row r="18" spans="5:18">
      <c r="E18" s="9" t="s">
        <v>89</v>
      </c>
      <c r="F18">
        <v>10</v>
      </c>
      <c r="G18">
        <v>30</v>
      </c>
      <c r="H18" s="6">
        <f>F18*G18/3600*OperatorSpecs[[#This Row],[Voltage (V)]]</f>
        <v>1</v>
      </c>
      <c r="I18">
        <v>12</v>
      </c>
      <c r="J18" s="33">
        <v>1050</v>
      </c>
      <c r="K18">
        <v>1</v>
      </c>
      <c r="L18" s="10">
        <v>1.7000000000000001E-2</v>
      </c>
      <c r="M18">
        <v>2.5000000000000001E-2</v>
      </c>
      <c r="N18">
        <v>0.05</v>
      </c>
      <c r="O18">
        <v>0.03</v>
      </c>
      <c r="P18">
        <v>3.5000000000000003E-2</v>
      </c>
      <c r="Q18">
        <v>0.05</v>
      </c>
      <c r="R18">
        <v>0.01</v>
      </c>
    </row>
    <row r="19" spans="5:18">
      <c r="E19" s="1" t="s">
        <v>90</v>
      </c>
      <c r="F19">
        <v>5</v>
      </c>
      <c r="G19">
        <v>30</v>
      </c>
      <c r="H19" s="6">
        <f>F19*G19/3600*OperatorSpecs[[#This Row],[Voltage (V)]]</f>
        <v>0.5</v>
      </c>
      <c r="I19">
        <v>12</v>
      </c>
      <c r="J19" s="33" t="s">
        <v>91</v>
      </c>
      <c r="K19">
        <v>2</v>
      </c>
      <c r="L19" s="10">
        <v>0.01</v>
      </c>
      <c r="M19">
        <v>2.5000000000000001E-2</v>
      </c>
      <c r="N19">
        <v>0.05</v>
      </c>
      <c r="O19">
        <v>0.03</v>
      </c>
      <c r="P19">
        <v>1E-3</v>
      </c>
      <c r="Q19">
        <v>0.05</v>
      </c>
      <c r="R19">
        <v>0.01</v>
      </c>
    </row>
    <row r="20" spans="5:18">
      <c r="E20" s="1" t="s">
        <v>14</v>
      </c>
      <c r="F20">
        <v>10</v>
      </c>
      <c r="G20">
        <v>30</v>
      </c>
      <c r="H20" s="6">
        <f>F20*G20/3600*OperatorSpecs[[#This Row],[Voltage (V)]]</f>
        <v>1</v>
      </c>
      <c r="I20">
        <v>12</v>
      </c>
      <c r="J20" s="33" t="s">
        <v>91</v>
      </c>
      <c r="K20">
        <v>2</v>
      </c>
      <c r="L20" s="10">
        <v>0.01</v>
      </c>
      <c r="M20">
        <v>2.5000000000000001E-2</v>
      </c>
      <c r="N20">
        <v>0.05</v>
      </c>
      <c r="O20">
        <v>0.03</v>
      </c>
      <c r="P20">
        <v>1E-3</v>
      </c>
      <c r="Q20">
        <v>0.05</v>
      </c>
      <c r="R20">
        <v>0.01</v>
      </c>
    </row>
    <row r="21" spans="5:18">
      <c r="E21" s="1" t="s">
        <v>92</v>
      </c>
      <c r="F21">
        <v>5</v>
      </c>
      <c r="G21">
        <v>30</v>
      </c>
      <c r="H21" s="6">
        <f>F21*G21/3600*OperatorSpecs[[#This Row],[Voltage (V)]]</f>
        <v>0.5</v>
      </c>
      <c r="I21">
        <v>12</v>
      </c>
      <c r="J21" s="33" t="s">
        <v>91</v>
      </c>
      <c r="K21">
        <v>2</v>
      </c>
      <c r="L21" s="10">
        <v>0.01</v>
      </c>
      <c r="M21">
        <v>2.5000000000000001E-2</v>
      </c>
      <c r="N21">
        <v>0.05</v>
      </c>
      <c r="O21">
        <v>0.03</v>
      </c>
      <c r="P21">
        <v>1E-3</v>
      </c>
      <c r="Q21">
        <v>0.05</v>
      </c>
      <c r="R21">
        <v>0.01</v>
      </c>
    </row>
    <row r="22" spans="5:18">
      <c r="E22" s="9" t="s">
        <v>93</v>
      </c>
      <c r="F22">
        <v>10</v>
      </c>
      <c r="G22">
        <v>30</v>
      </c>
      <c r="H22" s="6">
        <f>F22*G22/3600*OperatorSpecs[[#This Row],[Voltage (V)]]</f>
        <v>1</v>
      </c>
      <c r="I22">
        <v>12</v>
      </c>
      <c r="J22" s="33" t="s">
        <v>91</v>
      </c>
      <c r="K22">
        <v>2</v>
      </c>
      <c r="L22" s="10">
        <v>0.01</v>
      </c>
      <c r="M22">
        <v>2.5000000000000001E-2</v>
      </c>
      <c r="N22">
        <v>0.05</v>
      </c>
      <c r="O22">
        <v>0.03</v>
      </c>
      <c r="P22">
        <v>1E-3</v>
      </c>
      <c r="Q22">
        <v>0.05</v>
      </c>
      <c r="R22">
        <v>0.01</v>
      </c>
    </row>
    <row r="23" spans="5:18">
      <c r="E23" s="1" t="s">
        <v>94</v>
      </c>
      <c r="F23">
        <v>5</v>
      </c>
      <c r="G23">
        <v>30</v>
      </c>
      <c r="H23" s="6">
        <f>F23*G23/3600*OperatorSpecs[[#This Row],[Voltage (V)]]</f>
        <v>0.5</v>
      </c>
      <c r="I23">
        <v>12</v>
      </c>
      <c r="J23" s="33" t="s">
        <v>91</v>
      </c>
      <c r="K23">
        <v>2</v>
      </c>
      <c r="L23" s="10">
        <v>0.01</v>
      </c>
      <c r="M23">
        <v>2.5000000000000001E-2</v>
      </c>
      <c r="N23">
        <v>0.05</v>
      </c>
      <c r="O23">
        <v>0.03</v>
      </c>
      <c r="P23">
        <v>1E-3</v>
      </c>
      <c r="Q23">
        <v>0.05</v>
      </c>
      <c r="R23">
        <v>0.01</v>
      </c>
    </row>
    <row r="24" spans="5:18">
      <c r="E24" s="1" t="s">
        <v>95</v>
      </c>
      <c r="F24">
        <v>10</v>
      </c>
      <c r="G24">
        <v>30</v>
      </c>
      <c r="H24" s="6">
        <f>F24*G24/3600*OperatorSpecs[[#This Row],[Voltage (V)]]</f>
        <v>1</v>
      </c>
      <c r="I24">
        <v>12</v>
      </c>
      <c r="J24" s="33" t="s">
        <v>91</v>
      </c>
      <c r="K24">
        <v>2</v>
      </c>
      <c r="L24" s="10">
        <v>0.01</v>
      </c>
      <c r="M24">
        <v>2.5000000000000001E-2</v>
      </c>
      <c r="N24">
        <v>0.05</v>
      </c>
      <c r="O24">
        <v>0.03</v>
      </c>
      <c r="P24">
        <v>1E-3</v>
      </c>
      <c r="Q24">
        <v>0.05</v>
      </c>
      <c r="R24">
        <v>0.01</v>
      </c>
    </row>
    <row r="25" spans="5:18">
      <c r="E25" s="9" t="s">
        <v>96</v>
      </c>
      <c r="F25">
        <v>7</v>
      </c>
      <c r="G25">
        <f>2*Worksheet!C10</f>
        <v>30</v>
      </c>
      <c r="H25" s="6">
        <f>F25*G25/3600*OperatorSpecs[[#This Row],[Voltage (V)]]</f>
        <v>0.7</v>
      </c>
      <c r="I25">
        <v>12</v>
      </c>
      <c r="J25" s="33" t="s">
        <v>91</v>
      </c>
      <c r="K25">
        <v>2</v>
      </c>
      <c r="L25" s="10">
        <v>0.01</v>
      </c>
      <c r="M25">
        <v>2.5000000000000001E-2</v>
      </c>
      <c r="N25">
        <v>0.05</v>
      </c>
      <c r="O25">
        <v>0.03</v>
      </c>
      <c r="P25">
        <v>1E-3</v>
      </c>
      <c r="Q25">
        <v>0.05</v>
      </c>
      <c r="R25">
        <v>0.01</v>
      </c>
    </row>
    <row r="26" spans="5:18">
      <c r="E26" s="1" t="s">
        <v>97</v>
      </c>
      <c r="F26">
        <v>5</v>
      </c>
      <c r="G26">
        <f>2*Worksheet!C10</f>
        <v>30</v>
      </c>
      <c r="H26" s="6">
        <f>F26*G26/3600*OperatorSpecs[[#This Row],[Voltage (V)]]</f>
        <v>1</v>
      </c>
      <c r="I26">
        <v>24</v>
      </c>
      <c r="J26" s="33" t="s">
        <v>98</v>
      </c>
      <c r="K26">
        <v>10</v>
      </c>
      <c r="L26" s="10">
        <v>7.4999999999999997E-2</v>
      </c>
      <c r="M26">
        <v>2.5000000000000001E-2</v>
      </c>
      <c r="N26">
        <v>0.05</v>
      </c>
      <c r="O26">
        <v>0.03</v>
      </c>
      <c r="P26" t="s">
        <v>84</v>
      </c>
      <c r="Q26">
        <v>0.05</v>
      </c>
      <c r="R26" t="s">
        <v>84</v>
      </c>
    </row>
    <row r="27" spans="5:18">
      <c r="E27" s="9" t="s">
        <v>99</v>
      </c>
      <c r="F27">
        <v>3.5</v>
      </c>
      <c r="G27">
        <v>30</v>
      </c>
      <c r="H27" s="6">
        <f>F27*G27/3600*OperatorSpecs[[#This Row],[Voltage (V)]]</f>
        <v>0.7</v>
      </c>
      <c r="I27">
        <v>24</v>
      </c>
      <c r="J27" s="33" t="s">
        <v>98</v>
      </c>
      <c r="K27">
        <v>10</v>
      </c>
      <c r="L27" s="10">
        <v>7.4999999999999997E-2</v>
      </c>
      <c r="M27">
        <v>2.5000000000000001E-2</v>
      </c>
      <c r="N27">
        <v>0.05</v>
      </c>
      <c r="O27">
        <v>0.03</v>
      </c>
      <c r="P27" t="s">
        <v>84</v>
      </c>
      <c r="Q27">
        <v>0.05</v>
      </c>
      <c r="R27" t="s">
        <v>84</v>
      </c>
    </row>
    <row r="28" spans="5:18">
      <c r="E28" s="1" t="s">
        <v>100</v>
      </c>
      <c r="F28">
        <f>IF(Worksheet!C10&lt;14,2.2,1.4)</f>
        <v>1.4</v>
      </c>
      <c r="G28">
        <v>1.5</v>
      </c>
      <c r="H28" s="6">
        <f>F28*G28/3600*OperatorSpecs[[#This Row],[Voltage (V)]]</f>
        <v>1.3999999999999999E-2</v>
      </c>
      <c r="I28">
        <v>24</v>
      </c>
      <c r="J28" s="33" t="s">
        <v>98</v>
      </c>
      <c r="K28">
        <v>10</v>
      </c>
      <c r="L28" s="10">
        <v>7.4999999999999997E-2</v>
      </c>
      <c r="M28">
        <v>2.5000000000000001E-2</v>
      </c>
      <c r="N28">
        <v>0.05</v>
      </c>
      <c r="O28">
        <v>0.03</v>
      </c>
      <c r="P28" t="s">
        <v>84</v>
      </c>
      <c r="Q28">
        <v>0.05</v>
      </c>
      <c r="R28" t="s">
        <v>84</v>
      </c>
    </row>
    <row r="29" spans="5:18">
      <c r="E29" s="1"/>
      <c r="H29" s="6">
        <f>F29*G29/3600*OperatorSpecs[[#This Row],[Voltage (V)]]</f>
        <v>0</v>
      </c>
      <c r="K29" s="10"/>
      <c r="L29" s="10"/>
    </row>
    <row r="30" spans="5:18">
      <c r="E30" s="1"/>
      <c r="H30" s="6">
        <f>F30*G30/3600*OperatorSpecs[[#This Row],[Voltage (V)]]</f>
        <v>0</v>
      </c>
      <c r="L30" s="10"/>
    </row>
    <row r="31" spans="5:18">
      <c r="E31" s="1"/>
      <c r="H31" s="6">
        <f>F31*G31/3600*OperatorSpecs[[#This Row],[Voltage (V)]]</f>
        <v>0</v>
      </c>
      <c r="K31" s="10"/>
      <c r="L31" s="10"/>
    </row>
    <row r="32" spans="5:18">
      <c r="E32" s="1"/>
      <c r="H32" s="6">
        <f>F32*G32/3600*OperatorSpecs[[#This Row],[Voltage (V)]]</f>
        <v>0</v>
      </c>
      <c r="K32" s="10"/>
      <c r="L32" s="10"/>
    </row>
    <row r="33" spans="3:12">
      <c r="E33" s="9"/>
      <c r="H33" s="6"/>
      <c r="L33" s="10"/>
    </row>
    <row r="37" spans="3:12">
      <c r="C37" s="18" t="s">
        <v>101</v>
      </c>
    </row>
    <row r="38" spans="3:12">
      <c r="C38" t="s">
        <v>102</v>
      </c>
    </row>
    <row r="39" spans="3:12">
      <c r="C39" t="s">
        <v>103</v>
      </c>
    </row>
    <row r="40" spans="3:12">
      <c r="C40" t="s">
        <v>104</v>
      </c>
    </row>
    <row r="43" spans="3:12">
      <c r="C43" s="18" t="s">
        <v>105</v>
      </c>
    </row>
    <row r="44" spans="3:12">
      <c r="C44" t="s">
        <v>106</v>
      </c>
    </row>
    <row r="45" spans="3:12">
      <c r="C45" t="s">
        <v>107</v>
      </c>
    </row>
    <row r="46" spans="3:12">
      <c r="C46" t="s">
        <v>108</v>
      </c>
    </row>
    <row r="47" spans="3:12">
      <c r="C47" t="s">
        <v>109</v>
      </c>
    </row>
    <row r="48" spans="3:12">
      <c r="C48" t="s">
        <v>110</v>
      </c>
    </row>
  </sheetData>
  <sheetProtection algorithmName="SHA-512" hashValue="xEc3HyinpKV02sDG1fqcr9yo/ozVOdFaa1vT2HAewYrw3/wYNHnWO2h4rjF6O2ocWjmEYEVx+slLofNM1bORwA==" saltValue="SPZbmjG3bWKiMWeVUOGNrg==" spinCount="100000" sheet="1" objects="1" scenarios="1"/>
  <protectedRanges>
    <protectedRange algorithmName="SHA-512" hashValue="qQu8gcqiUhYnwpQcDsYQ9z0F/7C9S6u7mNOHDx4jjY53WCMibeM6863E2BXWLv4jW2FuHHT3Sz+laHaPy91gcw==" saltValue="oQPeK1bz87Jmi6q0PrKJ8g==" spinCount="100000" sqref="A7:D9" name="Range1"/>
  </protectedRanges>
  <mergeCells count="1">
    <mergeCell ref="A1:B1"/>
  </mergeCells>
  <phoneticPr fontId="9" type="noConversion"/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 Allen</dc:creator>
  <cp:keywords/>
  <dc:description/>
  <cp:lastModifiedBy/>
  <cp:revision/>
  <dcterms:created xsi:type="dcterms:W3CDTF">2017-12-05T23:22:12Z</dcterms:created>
  <dcterms:modified xsi:type="dcterms:W3CDTF">2025-04-16T16:28:17Z</dcterms:modified>
  <cp:category/>
  <cp:contentStatus/>
</cp:coreProperties>
</file>